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3 CUS Filing (2024 rate)\True Up\Files to OASIS\"/>
    </mc:Choice>
  </mc:AlternateContent>
  <xr:revisionPtr revIDLastSave="0" documentId="8_{BFF3203A-9C2C-4E02-AD91-C97A5049D156}" xr6:coauthVersionLast="47" xr6:coauthVersionMax="47" xr10:uidLastSave="{00000000-0000-0000-0000-000000000000}"/>
  <bookViews>
    <workbookView xWindow="-120" yWindow="-120" windowWidth="29040" windowHeight="15720" tabRatio="754" xr2:uid="{00000000-000D-0000-FFFF-FFFF00000000}"/>
  </bookViews>
  <sheets>
    <sheet name="Under-Over Recovery" sheetId="22" r:id="rId1"/>
    <sheet name="Rate - Summary" sheetId="17" r:id="rId2"/>
    <sheet name="Sch. 2 - BHP" sheetId="14" r:id="rId3"/>
    <sheet name="Sch. 2 - Gillette" sheetId="13" r:id="rId4"/>
    <sheet name="Sch. 2 - CLFP" sheetId="16" r:id="rId5"/>
    <sheet name="Sch. 2 - BHW" sheetId="15" r:id="rId6"/>
    <sheet name="Sch. 2 - Basin" sheetId="20" r:id="rId7"/>
    <sheet name="Sch. 2 - WMPA" sheetId="21" r:id="rId8"/>
    <sheet name="Sch. 2 - Total" sheetId="2" r:id="rId9"/>
    <sheet name="CUS AC LOADS" sheetId="5" r:id="rId10"/>
  </sheets>
  <definedNames>
    <definedName name="_xlnm.Print_Area" localSheetId="9">'CUS AC LOADS'!$A$1:$I$69</definedName>
    <definedName name="_xlnm.Print_Area" localSheetId="1">'Rate - Summary'!$A$1:$J$54</definedName>
    <definedName name="_xlnm.Print_Area" localSheetId="6">'Sch. 2 - Basin'!$A$1:$K$31</definedName>
    <definedName name="_xlnm.Print_Area" localSheetId="2">'Sch. 2 - BHP'!$A$1:$K$31</definedName>
    <definedName name="_xlnm.Print_Area" localSheetId="5">'Sch. 2 - BHW'!$A$1:$K$31</definedName>
    <definedName name="_xlnm.Print_Area" localSheetId="4">'Sch. 2 - CLFP'!$A$1:$K$31</definedName>
    <definedName name="_xlnm.Print_Area" localSheetId="3">'Sch. 2 - Gillette'!$A$1:$K$31</definedName>
    <definedName name="_xlnm.Print_Area" localSheetId="8">'Sch. 2 - Total'!$A$1:$K$31</definedName>
    <definedName name="_xlnm.Print_Area" localSheetId="7">'Sch. 2 - WMPA'!$A$1:$K$31</definedName>
    <definedName name="_xlnm.Print_Area" localSheetId="0">'Under-Over Recovery'!$A$1:$J$70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7" l="1"/>
  <c r="E51" i="17"/>
  <c r="F51" i="17"/>
  <c r="G51" i="17"/>
  <c r="H51" i="17"/>
  <c r="I51" i="17"/>
  <c r="C51" i="17"/>
  <c r="F55" i="22"/>
  <c r="F56" i="22" s="1"/>
  <c r="F57" i="22" s="1"/>
  <c r="F58" i="22" s="1"/>
  <c r="F59" i="22" s="1"/>
  <c r="F60" i="22" s="1"/>
  <c r="F61" i="22" s="1"/>
  <c r="F62" i="22" s="1"/>
  <c r="F63" i="22" s="1"/>
  <c r="F64" i="22" s="1"/>
  <c r="F65" i="22" s="1"/>
  <c r="F66" i="22" s="1"/>
  <c r="F67" i="22" s="1"/>
  <c r="F68" i="22" s="1"/>
  <c r="F69" i="22" s="1"/>
  <c r="H45" i="5"/>
  <c r="G45" i="5"/>
  <c r="F45" i="5"/>
  <c r="E45" i="5"/>
  <c r="D45" i="5"/>
  <c r="C45" i="5"/>
  <c r="I33" i="5"/>
  <c r="I34" i="5"/>
  <c r="I35" i="5"/>
  <c r="I36" i="5"/>
  <c r="I37" i="5"/>
  <c r="I38" i="5"/>
  <c r="I39" i="5"/>
  <c r="I40" i="5"/>
  <c r="I41" i="5"/>
  <c r="I42" i="5"/>
  <c r="I43" i="5"/>
  <c r="I32" i="5"/>
  <c r="I12" i="5"/>
  <c r="I54" i="5" s="1"/>
  <c r="I13" i="5"/>
  <c r="I14" i="5"/>
  <c r="I56" i="5" s="1"/>
  <c r="I15" i="5"/>
  <c r="I57" i="5" s="1"/>
  <c r="I16" i="5"/>
  <c r="I17" i="5"/>
  <c r="I59" i="5" s="1"/>
  <c r="I18" i="5"/>
  <c r="I19" i="5"/>
  <c r="I61" i="5" s="1"/>
  <c r="I20" i="5"/>
  <c r="I62" i="5"/>
  <c r="I21" i="5"/>
  <c r="I63" i="5"/>
  <c r="I22" i="5"/>
  <c r="I64" i="5" s="1"/>
  <c r="I11" i="5"/>
  <c r="B16" i="22"/>
  <c r="B23" i="22" s="1"/>
  <c r="B30" i="22" s="1"/>
  <c r="B37" i="22" s="1"/>
  <c r="B44" i="22" s="1"/>
  <c r="D24" i="5"/>
  <c r="E24" i="5"/>
  <c r="F24" i="5"/>
  <c r="G24" i="5"/>
  <c r="H24" i="5"/>
  <c r="C24" i="5"/>
  <c r="H15" i="2"/>
  <c r="J43" i="22"/>
  <c r="H14" i="2"/>
  <c r="H14" i="15"/>
  <c r="H13" i="2"/>
  <c r="J29" i="22"/>
  <c r="J31" i="22"/>
  <c r="H12" i="2"/>
  <c r="J22" i="22"/>
  <c r="J24" i="22"/>
  <c r="H11" i="2"/>
  <c r="H11" i="21"/>
  <c r="H10" i="2"/>
  <c r="H10" i="15"/>
  <c r="H62" i="5"/>
  <c r="H63" i="5"/>
  <c r="H64" i="5"/>
  <c r="G62" i="5"/>
  <c r="G63" i="5"/>
  <c r="G64" i="5"/>
  <c r="F62" i="5"/>
  <c r="F63" i="5"/>
  <c r="F64" i="5"/>
  <c r="E62" i="5"/>
  <c r="E63" i="5"/>
  <c r="E64" i="5"/>
  <c r="D62" i="5"/>
  <c r="D63" i="5"/>
  <c r="D64" i="5"/>
  <c r="C62" i="5"/>
  <c r="C63" i="5"/>
  <c r="C64" i="5"/>
  <c r="I2" i="5"/>
  <c r="I1" i="5"/>
  <c r="K3" i="2"/>
  <c r="K2" i="2"/>
  <c r="K3" i="21"/>
  <c r="K2" i="21"/>
  <c r="K3" i="20"/>
  <c r="K2" i="20"/>
  <c r="K3" i="15"/>
  <c r="K2" i="15"/>
  <c r="K3" i="16"/>
  <c r="K2" i="16"/>
  <c r="K3" i="13"/>
  <c r="K2" i="13"/>
  <c r="K3" i="14"/>
  <c r="K2" i="14"/>
  <c r="J3" i="17"/>
  <c r="J2" i="17"/>
  <c r="I70" i="22"/>
  <c r="J46" i="22" s="1"/>
  <c r="H13" i="15"/>
  <c r="H17" i="15"/>
  <c r="H12" i="20"/>
  <c r="H11" i="16"/>
  <c r="B47" i="22"/>
  <c r="B40" i="22"/>
  <c r="B33" i="22"/>
  <c r="B26" i="22"/>
  <c r="B19" i="22"/>
  <c r="I31" i="2"/>
  <c r="I30" i="2"/>
  <c r="I28" i="2"/>
  <c r="I27" i="2"/>
  <c r="I25" i="2"/>
  <c r="I23" i="2"/>
  <c r="I21" i="2"/>
  <c r="I31" i="21"/>
  <c r="I30" i="21"/>
  <c r="I28" i="21"/>
  <c r="I27" i="21"/>
  <c r="I25" i="21"/>
  <c r="I23" i="21"/>
  <c r="I21" i="21"/>
  <c r="I31" i="20"/>
  <c r="I30" i="20"/>
  <c r="I28" i="20"/>
  <c r="I27" i="20"/>
  <c r="I25" i="20"/>
  <c r="I23" i="20"/>
  <c r="I21" i="20"/>
  <c r="I31" i="15"/>
  <c r="I30" i="15"/>
  <c r="I28" i="15"/>
  <c r="I27" i="15"/>
  <c r="I25" i="15"/>
  <c r="I23" i="15"/>
  <c r="I21" i="15"/>
  <c r="I31" i="16"/>
  <c r="I30" i="16"/>
  <c r="I28" i="16"/>
  <c r="I27" i="16"/>
  <c r="I25" i="16"/>
  <c r="I23" i="16"/>
  <c r="I21" i="16"/>
  <c r="I31" i="13"/>
  <c r="I30" i="13"/>
  <c r="I28" i="13"/>
  <c r="I27" i="13"/>
  <c r="I25" i="13"/>
  <c r="I23" i="13"/>
  <c r="I21" i="13"/>
  <c r="H10" i="21"/>
  <c r="H12" i="16"/>
  <c r="H17" i="16"/>
  <c r="H12" i="13"/>
  <c r="H14" i="14"/>
  <c r="A31" i="17"/>
  <c r="A32" i="17"/>
  <c r="A33" i="17"/>
  <c r="A34" i="17"/>
  <c r="A35" i="17"/>
  <c r="A36" i="17"/>
  <c r="A37" i="17"/>
  <c r="A38" i="17"/>
  <c r="A39" i="17"/>
  <c r="A40" i="17"/>
  <c r="A43" i="17"/>
  <c r="A44" i="17"/>
  <c r="A45" i="17"/>
  <c r="A46" i="17"/>
  <c r="A47" i="17"/>
  <c r="A48" i="17"/>
  <c r="A49" i="17"/>
  <c r="A50" i="17"/>
  <c r="A51" i="17"/>
  <c r="A52" i="17"/>
  <c r="A22" i="17"/>
  <c r="A23" i="17"/>
  <c r="A24" i="17"/>
  <c r="A25" i="17"/>
  <c r="A26" i="17"/>
  <c r="A27" i="17"/>
  <c r="A28" i="17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B19" i="2"/>
  <c r="B19" i="21"/>
  <c r="B19" i="20"/>
  <c r="B19" i="15"/>
  <c r="B19" i="16"/>
  <c r="B19" i="13"/>
  <c r="A17" i="13"/>
  <c r="A19" i="13"/>
  <c r="A21" i="13"/>
  <c r="A23" i="13"/>
  <c r="A25" i="13"/>
  <c r="A27" i="13"/>
  <c r="A28" i="13"/>
  <c r="A30" i="13"/>
  <c r="A31" i="13"/>
  <c r="A11" i="14"/>
  <c r="A12" i="14"/>
  <c r="A13" i="14"/>
  <c r="A19" i="14"/>
  <c r="A21" i="14"/>
  <c r="A23" i="14"/>
  <c r="A25" i="14"/>
  <c r="A27" i="14"/>
  <c r="A28" i="14"/>
  <c r="A30" i="14"/>
  <c r="A31" i="14"/>
  <c r="H61" i="5"/>
  <c r="H60" i="5"/>
  <c r="H59" i="5"/>
  <c r="H58" i="5"/>
  <c r="H57" i="5"/>
  <c r="H56" i="5"/>
  <c r="H55" i="5"/>
  <c r="H54" i="5"/>
  <c r="H53" i="5"/>
  <c r="G61" i="5"/>
  <c r="G60" i="5"/>
  <c r="G59" i="5"/>
  <c r="G58" i="5"/>
  <c r="G57" i="5"/>
  <c r="G56" i="5"/>
  <c r="G55" i="5"/>
  <c r="G54" i="5"/>
  <c r="G53" i="5"/>
  <c r="F61" i="5"/>
  <c r="F60" i="5"/>
  <c r="F59" i="5"/>
  <c r="F58" i="5"/>
  <c r="F57" i="5"/>
  <c r="F56" i="5"/>
  <c r="F55" i="5"/>
  <c r="F54" i="5"/>
  <c r="F53" i="5"/>
  <c r="E61" i="5"/>
  <c r="E60" i="5"/>
  <c r="E59" i="5"/>
  <c r="E58" i="5"/>
  <c r="E57" i="5"/>
  <c r="E56" i="5"/>
  <c r="E55" i="5"/>
  <c r="E54" i="5"/>
  <c r="E53" i="5"/>
  <c r="D61" i="5"/>
  <c r="D60" i="5"/>
  <c r="D59" i="5"/>
  <c r="D58" i="5"/>
  <c r="D57" i="5"/>
  <c r="D56" i="5"/>
  <c r="D55" i="5"/>
  <c r="D54" i="5"/>
  <c r="D53" i="5"/>
  <c r="C55" i="5"/>
  <c r="C56" i="5"/>
  <c r="C57" i="5"/>
  <c r="C58" i="5"/>
  <c r="C59" i="5"/>
  <c r="C60" i="5"/>
  <c r="C61" i="5"/>
  <c r="C54" i="5"/>
  <c r="C53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H13" i="14"/>
  <c r="H13" i="13"/>
  <c r="H13" i="16"/>
  <c r="H13" i="20"/>
  <c r="H13" i="21"/>
  <c r="H10" i="14"/>
  <c r="H17" i="14"/>
  <c r="H15" i="20"/>
  <c r="H15" i="16"/>
  <c r="H12" i="14"/>
  <c r="H12" i="21"/>
  <c r="H17" i="2"/>
  <c r="H10" i="13"/>
  <c r="J15" i="22"/>
  <c r="J17" i="22"/>
  <c r="J45" i="22"/>
  <c r="H10" i="20"/>
  <c r="H15" i="14"/>
  <c r="H14" i="20"/>
  <c r="H17" i="20"/>
  <c r="J8" i="22"/>
  <c r="J10" i="22"/>
  <c r="H11" i="20"/>
  <c r="H11" i="13"/>
  <c r="H17" i="13"/>
  <c r="H11" i="14"/>
  <c r="J36" i="22"/>
  <c r="J38" i="22"/>
  <c r="H15" i="15"/>
  <c r="H14" i="13"/>
  <c r="H12" i="15"/>
  <c r="H15" i="13"/>
  <c r="H11" i="15"/>
  <c r="H10" i="16"/>
  <c r="H14" i="21"/>
  <c r="H15" i="21"/>
  <c r="H17" i="21"/>
  <c r="H14" i="16"/>
  <c r="I55" i="5"/>
  <c r="J47" i="22" l="1"/>
  <c r="J18" i="22"/>
  <c r="J19" i="22" s="1"/>
  <c r="J32" i="22"/>
  <c r="J33" i="22" s="1"/>
  <c r="J25" i="22"/>
  <c r="J26" i="22" s="1"/>
  <c r="J39" i="22"/>
  <c r="J40" i="22" s="1"/>
  <c r="J11" i="22"/>
  <c r="J12" i="22" s="1"/>
  <c r="D66" i="5"/>
  <c r="H66" i="5"/>
  <c r="I45" i="5"/>
  <c r="D52" i="17" s="1"/>
  <c r="I24" i="5"/>
  <c r="H19" i="21" s="1"/>
  <c r="H21" i="21" s="1"/>
  <c r="I58" i="5"/>
  <c r="G66" i="5"/>
  <c r="C66" i="5"/>
  <c r="I60" i="5"/>
  <c r="F66" i="5"/>
  <c r="E66" i="5"/>
  <c r="D40" i="17"/>
  <c r="H19" i="2"/>
  <c r="H21" i="2" s="1"/>
  <c r="H19" i="16"/>
  <c r="H21" i="16" s="1"/>
  <c r="H19" i="13"/>
  <c r="H21" i="13" s="1"/>
  <c r="H19" i="14"/>
  <c r="H21" i="14" s="1"/>
  <c r="H19" i="20"/>
  <c r="H21" i="20" s="1"/>
  <c r="H19" i="15"/>
  <c r="H21" i="15" s="1"/>
  <c r="I53" i="5"/>
  <c r="I66" i="5" l="1"/>
  <c r="H23" i="2"/>
  <c r="H30" i="2"/>
  <c r="H31" i="2"/>
  <c r="H25" i="2"/>
  <c r="H28" i="2"/>
  <c r="H27" i="2"/>
  <c r="I33" i="17"/>
  <c r="H25" i="14"/>
  <c r="G33" i="17" s="1"/>
  <c r="H30" i="14"/>
  <c r="D33" i="17" s="1"/>
  <c r="H27" i="14"/>
  <c r="F33" i="17" s="1"/>
  <c r="H28" i="14"/>
  <c r="E33" i="17" s="1"/>
  <c r="H23" i="14"/>
  <c r="H33" i="17" s="1"/>
  <c r="H31" i="14"/>
  <c r="C33" i="17" s="1"/>
  <c r="H25" i="16"/>
  <c r="G35" i="17" s="1"/>
  <c r="H23" i="16"/>
  <c r="H35" i="17" s="1"/>
  <c r="I35" i="17"/>
  <c r="H28" i="16"/>
  <c r="E35" i="17" s="1"/>
  <c r="H30" i="16"/>
  <c r="D35" i="17" s="1"/>
  <c r="H31" i="16"/>
  <c r="C35" i="17" s="1"/>
  <c r="H27" i="16"/>
  <c r="F35" i="17" s="1"/>
  <c r="H27" i="15"/>
  <c r="F36" i="17" s="1"/>
  <c r="H31" i="15"/>
  <c r="C36" i="17" s="1"/>
  <c r="I36" i="17"/>
  <c r="H28" i="15"/>
  <c r="E36" i="17" s="1"/>
  <c r="H30" i="15"/>
  <c r="D36" i="17" s="1"/>
  <c r="H23" i="15"/>
  <c r="H36" i="17" s="1"/>
  <c r="H25" i="15"/>
  <c r="G36" i="17" s="1"/>
  <c r="H27" i="21"/>
  <c r="F38" i="17" s="1"/>
  <c r="H23" i="21"/>
  <c r="H38" i="17" s="1"/>
  <c r="I38" i="17"/>
  <c r="H25" i="21"/>
  <c r="G38" i="17" s="1"/>
  <c r="H30" i="21"/>
  <c r="D38" i="17" s="1"/>
  <c r="H28" i="21"/>
  <c r="E38" i="17" s="1"/>
  <c r="H31" i="21"/>
  <c r="C38" i="17" s="1"/>
  <c r="H27" i="13"/>
  <c r="F34" i="17" s="1"/>
  <c r="H30" i="13"/>
  <c r="D34" i="17" s="1"/>
  <c r="H25" i="13"/>
  <c r="G34" i="17" s="1"/>
  <c r="H31" i="13"/>
  <c r="C34" i="17" s="1"/>
  <c r="H28" i="13"/>
  <c r="E34" i="17" s="1"/>
  <c r="I34" i="17"/>
  <c r="H23" i="13"/>
  <c r="H34" i="17" s="1"/>
  <c r="H30" i="20"/>
  <c r="D37" i="17" s="1"/>
  <c r="H23" i="20"/>
  <c r="H37" i="17" s="1"/>
  <c r="H27" i="20"/>
  <c r="F37" i="17" s="1"/>
  <c r="H31" i="20"/>
  <c r="C37" i="17" s="1"/>
  <c r="H25" i="20"/>
  <c r="G37" i="17" s="1"/>
  <c r="H28" i="20"/>
  <c r="E37" i="17" s="1"/>
  <c r="I37" i="17"/>
  <c r="F39" i="17" l="1"/>
  <c r="C39" i="17"/>
  <c r="H39" i="17"/>
  <c r="E39" i="17"/>
  <c r="G39" i="17"/>
  <c r="D39" i="17"/>
  <c r="I39" i="17"/>
</calcChain>
</file>

<file path=xl/sharedStrings.xml><?xml version="1.0" encoding="utf-8"?>
<sst xmlns="http://schemas.openxmlformats.org/spreadsheetml/2006/main" count="405" uniqueCount="131">
  <si>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</si>
  <si>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</si>
  <si>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</si>
  <si>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</si>
  <si>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</si>
  <si>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</si>
  <si>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</si>
  <si>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</si>
  <si>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</si>
  <si>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</si>
  <si>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</si>
  <si>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</si>
  <si>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</si>
  <si>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</si>
  <si>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</si>
  <si>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</si>
  <si>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</si>
  <si>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</si>
  <si>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</si>
  <si>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</si>
  <si>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</si>
  <si>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</si>
  <si>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</si>
  <si>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</si>
  <si>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</si>
  <si>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</si>
  <si>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</si>
  <si>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</si>
  <si>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</si>
  <si>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</si>
  <si>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</si>
  <si>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</si>
  <si>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</si>
  <si>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</si>
  <si>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</si>
  <si>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</si>
  <si>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</si>
  <si>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</si>
  <si>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</si>
  <si>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</si>
  <si>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</si>
  <si>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</si>
  <si>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</si>
  <si>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</si>
  <si>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</si>
  <si>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</si>
  <si>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</si>
  <si>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</si>
  <si>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</si>
  <si>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</si>
  <si>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</si>
  <si>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</si>
  <si>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</si>
  <si>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</si>
  <si>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</si>
  <si>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</si>
  <si>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</si>
  <si>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</si>
  <si>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</si>
  <si>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</si>
  <si>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</si>
  <si>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</si>
  <si>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</si>
  <si>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</si>
  <si>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</si>
  <si>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</si>
  <si>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</si>
  <si>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</si>
  <si>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</si>
  <si>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BHW Charge</t>
  </si>
  <si>
    <t>Schedule 2 - Interest on Under/(Over) Recovery:</t>
  </si>
  <si>
    <t>Black Hills Power (BHP):</t>
  </si>
  <si>
    <t>True-up Amount - Under/(Over) Recovery</t>
  </si>
  <si>
    <t>Future Value Factor (1+i)^18</t>
  </si>
  <si>
    <t>Gillette:</t>
  </si>
  <si>
    <t>Cheyenne Light:</t>
  </si>
  <si>
    <t>Black Hills Wyoming:</t>
  </si>
  <si>
    <t>Basin:</t>
  </si>
  <si>
    <t>WMPA:</t>
  </si>
  <si>
    <t>Where:</t>
  </si>
  <si>
    <t>i = average interest rate as calculated below</t>
  </si>
  <si>
    <t>Interest on Amount of Refunds or Surcharges Interest 35.19a for Current Year</t>
  </si>
  <si>
    <t>Interest 35.19a</t>
  </si>
  <si>
    <t>Month</t>
  </si>
  <si>
    <t>Year</t>
  </si>
  <si>
    <t>for Month</t>
  </si>
  <si>
    <t>Average Interest Rate</t>
  </si>
  <si>
    <t xml:space="preserve">actual Summed Reactive billing Loads on the Transmission System during each month of the preceding calendar </t>
  </si>
  <si>
    <t>year and the difference between that actual amount and the previously projected amount for the same calendar year.</t>
  </si>
  <si>
    <t xml:space="preserve">If the Aggregate annual Reactive Revenue Requirement has changed during that calendar year pursuant to a Section </t>
  </si>
  <si>
    <t xml:space="preserve">205 or 206 rate change accepted by FERC, the actual and differential load information will be broken out by the </t>
  </si>
  <si>
    <t xml:space="preserve">period(s) before and after the effective date(s) of such change.  From such calculations, the Transmission Provider </t>
  </si>
  <si>
    <t xml:space="preserve">will calculate a true-up adjustment designed to reverse any under-collection or over-collection of the revenue </t>
  </si>
  <si>
    <t xml:space="preserve">requirements identified in Section 2 and 3.  The true-up adjustment and related calculations shall be posted to the </t>
  </si>
  <si>
    <t>Transmission Provider's OASIS no later than June 1."</t>
  </si>
  <si>
    <t xml:space="preserve">" Interest on any over-recovery of the revenue requirements shall be determined based on FERC's regulations </t>
  </si>
  <si>
    <t xml:space="preserve">at 18 C.F.R. 35.19a.  Interest on any under-recovery of the net revenue requirement shall be determined using </t>
  </si>
  <si>
    <t xml:space="preserve">the interest rate equal to Black Hills Power's actual short-term debt costs capped at the applicable FERC refund </t>
  </si>
  <si>
    <t xml:space="preserve">interest rate.  In either case, the interest payable shall be calculated as follows.  The interest rate will be </t>
  </si>
  <si>
    <t xml:space="preserve">determined using the applicable rate averaged across the sixteen (16) months, January of the year prior through </t>
  </si>
  <si>
    <t>the April of the year in which the true-up occurs.  That interest rate will be applied, with quarterly compounding, to the</t>
  </si>
  <si>
    <t xml:space="preserve">principal amount (i.e., the over or under recovery in the net revenue requirement) for the eighteen (18) months during </t>
  </si>
  <si>
    <t>which that over or under recovery exists."</t>
  </si>
  <si>
    <t>Application accepted by FERC July 29, 2013</t>
  </si>
  <si>
    <t>Yearly ($/kW Year)</t>
  </si>
  <si>
    <t xml:space="preserve">True-up " Not later than June 1 of each year, Transmission Provider will calculate and post to its OASIS the 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</si>
  <si>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</si>
  <si>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</si>
  <si>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</si>
  <si>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</si>
  <si>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</si>
  <si>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</si>
  <si>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</si>
  <si>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</si>
  <si>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t>1 - Transmission actual load from OATI</t>
  </si>
  <si>
    <t>2 - Transmission projected load from Transmission Planning</t>
  </si>
  <si>
    <t>Black Hills Power, Inc.</t>
  </si>
  <si>
    <t>6 days * 52 weeks</t>
  </si>
  <si>
    <t xml:space="preserve">Total </t>
  </si>
  <si>
    <t>May 31, 2025</t>
  </si>
  <si>
    <r>
      <t>2024 Actual Load Data</t>
    </r>
    <r>
      <rPr>
        <b/>
        <vertAlign val="superscript"/>
        <sz val="11"/>
        <rFont val="Arial"/>
        <family val="2"/>
      </rPr>
      <t>1</t>
    </r>
  </si>
  <si>
    <r>
      <t>2024 Projected Load Data</t>
    </r>
    <r>
      <rPr>
        <b/>
        <vertAlign val="superscript"/>
        <sz val="11"/>
        <rFont val="Arial"/>
        <family val="2"/>
      </rPr>
      <t>2</t>
    </r>
  </si>
  <si>
    <t>2024 Actual vs Projected Load Data Difference</t>
  </si>
  <si>
    <t>Common Use AC Facility Transmission Load (2024 Actual Load)</t>
  </si>
  <si>
    <t>2024 Actual Load:</t>
  </si>
  <si>
    <t>2024 Schedule 2 True-up Rates - June 1, 2025</t>
  </si>
  <si>
    <t>2024 Schedule 2 Rates - OASIS</t>
  </si>
  <si>
    <t>2024 Projected Load:</t>
  </si>
  <si>
    <t>True-up Amount to be (Refunded)/Paid based on 2024 Actual Loads</t>
  </si>
  <si>
    <t>2024 Collected Revenue</t>
  </si>
  <si>
    <t>Authorized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</si>
</sst>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000"/>
    <numFmt numFmtId="168" formatCode="&quot;$&quot;#,##0.00000"/>
    <numFmt numFmtId="169" formatCode="&quot;$&quot;#,##0.0000"/>
    <numFmt numFmtId="170" formatCode="0.00000"/>
    <numFmt numFmtId="171" formatCode="0.000"/>
    <numFmt numFmtId="172" formatCode="_(&quot;$&quot;* #,##0_);_(&quot;$&quot;* \(#,##0\);_(&quot;$&quot;* &quot;-&quot;??_);_(@_)"/>
    <numFmt numFmtId="173" formatCode="0.0000%"/>
    <numFmt numFmtId="174" formatCode="_(&quot;$&quot;* #,##0.0000_);_(&quot;$&quot;* \(#,##0.0000\);_(&quot;$&quot;* &quot;-&quot;??_);_(@_)"/>
    <numFmt numFmtId="175" formatCode="mmm\-yyyy"/>
    <numFmt numFmtId="176" formatCode="&quot;$&quot;#,##0.0;[Red]\-&quot;$&quot;#,##0.0"/>
    <numFmt numFmtId="177" formatCode="00000"/>
    <numFmt numFmtId="178" formatCode="#,##0\ ;\(#,##0\);\-\ \ \ \ \ "/>
    <numFmt numFmtId="179" formatCode="#,##0\ ;\(#,##0\);\–\ \ \ \ \ "/>
    <numFmt numFmtId="180" formatCode="#,##0;\(#,##0\)"/>
    <numFmt numFmtId="181" formatCode="yyyymmdd"/>
    <numFmt numFmtId="182" formatCode="_([$€-2]* #,##0.00_);_([$€-2]* \(#,##0.00\);_([$€-2]* &quot;-&quot;??_)"/>
    <numFmt numFmtId="183" formatCode="_-* #,##0.0_-;\-* #,##0.0_-;_-* &quot;-&quot;??_-;_-@_-"/>
    <numFmt numFmtId="184" formatCode="#,##0.00&quot; $&quot;;\-#,##0.00&quot; $&quot;"/>
    <numFmt numFmtId="185" formatCode="000000000"/>
    <numFmt numFmtId="186" formatCode="#,##0.0_);\(#,##0.0\)"/>
    <numFmt numFmtId="187" formatCode="_-&quot;£&quot;* #,##0_-;\-&quot;£&quot;* #,##0_-;_-&quot;£&quot;* &quot;-&quot;_-;_-@_-"/>
    <numFmt numFmtId="188" formatCode="_-&quot;£&quot;* #,##0.00_-;\-&quot;£&quot;* #,##0.00_-;_-&quot;£&quot;* &quot;-&quot;??_-;_-@_-"/>
    <numFmt numFmtId="189" formatCode="0.00_)"/>
    <numFmt numFmtId="190" formatCode="00"/>
    <numFmt numFmtId="191" formatCode="0_);\(0\)"/>
    <numFmt numFmtId="192" formatCode="000\-00\-0000"/>
  </numFmts>
  <fonts count="8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name val="Arial MT"/>
    </font>
    <font>
      <sz val="11"/>
      <color indexed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8">
    <xf numFmtId="0" fontId="0" fillId="0" borderId="0"/>
    <xf numFmtId="0" fontId="6" fillId="0" borderId="0"/>
    <xf numFmtId="37" fontId="24" fillId="0" borderId="0" applyFont="0" applyFill="0" applyBorder="0" applyAlignment="0" applyProtection="0"/>
    <xf numFmtId="37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7" fontId="24" fillId="0" borderId="0" applyFont="0" applyFill="0" applyBorder="0" applyAlignment="0" applyProtection="0"/>
    <xf numFmtId="37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7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7" fontId="24" fillId="0" borderId="0" applyFont="0" applyFill="0" applyBorder="0" applyAlignment="0" applyProtection="0"/>
    <xf numFmtId="0" fontId="6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4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1" borderId="0" applyNumberFormat="0" applyBorder="0" applyAlignment="0" applyProtection="0"/>
    <xf numFmtId="38" fontId="32" fillId="0" borderId="0" applyBorder="0" applyAlignment="0"/>
    <xf numFmtId="176" fontId="31" fillId="24" borderId="1">
      <alignment horizontal="center" vertical="center"/>
    </xf>
    <xf numFmtId="177" fontId="6" fillId="0" borderId="2">
      <alignment horizontal="left"/>
    </xf>
    <xf numFmtId="177" fontId="6" fillId="0" borderId="2">
      <alignment horizontal="left"/>
    </xf>
    <xf numFmtId="0" fontId="33" fillId="0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34" fillId="0" borderId="0" applyNumberFormat="0" applyFill="0" applyBorder="0" applyAlignment="0" applyProtection="0"/>
    <xf numFmtId="178" fontId="35" fillId="0" borderId="3" applyNumberFormat="0" applyFill="0" applyAlignment="0" applyProtection="0">
      <alignment horizontal="center"/>
    </xf>
    <xf numFmtId="179" fontId="35" fillId="0" borderId="4" applyFill="0" applyAlignment="0" applyProtection="0">
      <alignment horizontal="center"/>
    </xf>
    <xf numFmtId="38" fontId="6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36" fillId="0" borderId="0" applyFill="0">
      <alignment vertical="top"/>
    </xf>
    <xf numFmtId="0" fontId="37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6" fillId="0" borderId="0" applyNumberFormat="0" applyFont="0" applyAlignment="0"/>
    <xf numFmtId="0" fontId="36" fillId="0" borderId="0" applyFill="0">
      <alignment wrapText="1"/>
    </xf>
    <xf numFmtId="0" fontId="37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39" fillId="0" borderId="0" applyFill="0">
      <alignment vertical="top" wrapText="1"/>
    </xf>
    <xf numFmtId="0" fontId="9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0" fillId="0" borderId="0" applyFill="0">
      <alignment vertical="center" wrapText="1"/>
    </xf>
    <xf numFmtId="0" fontId="8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1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4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3" fillId="0" borderId="0" applyFill="0">
      <alignment horizontal="center" vertical="center" wrapText="1"/>
    </xf>
    <xf numFmtId="0" fontId="44" fillId="0" borderId="0" applyFill="0">
      <alignment horizontal="center" vertical="center" wrapText="1"/>
    </xf>
    <xf numFmtId="37" fontId="4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5" fillId="0" borderId="0">
      <alignment horizontal="center" wrapText="1"/>
    </xf>
    <xf numFmtId="0" fontId="46" fillId="0" borderId="0" applyFill="0">
      <alignment horizontal="center" wrapText="1"/>
    </xf>
    <xf numFmtId="0" fontId="13" fillId="25" borderId="7" applyNumberFormat="0" applyAlignment="0" applyProtection="0"/>
    <xf numFmtId="0" fontId="13" fillId="25" borderId="7" applyNumberFormat="0" applyAlignment="0" applyProtection="0"/>
    <xf numFmtId="0" fontId="71" fillId="26" borderId="7" applyNumberFormat="0" applyAlignment="0" applyProtection="0"/>
    <xf numFmtId="0" fontId="14" fillId="27" borderId="8" applyNumberFormat="0" applyAlignment="0" applyProtection="0"/>
    <xf numFmtId="0" fontId="14" fillId="27" borderId="8" applyNumberFormat="0" applyAlignment="0" applyProtection="0"/>
    <xf numFmtId="43" fontId="1" fillId="0" borderId="0" applyFont="0" applyFill="0" applyBorder="0" applyAlignment="0" applyProtection="0"/>
    <xf numFmtId="180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49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9" fillId="0" borderId="0" applyFont="0" applyFill="0" applyBorder="0" applyAlignment="0" applyProtection="0"/>
    <xf numFmtId="44" fontId="79" fillId="0" borderId="0" applyFont="0" applyFill="0" applyBorder="0" applyAlignment="0" applyProtection="0"/>
    <xf numFmtId="181" fontId="6" fillId="0" borderId="2">
      <alignment horizontal="center"/>
    </xf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83" fontId="6" fillId="0" borderId="0">
      <protection locked="0"/>
    </xf>
    <xf numFmtId="0" fontId="50" fillId="0" borderId="0"/>
    <xf numFmtId="0" fontId="51" fillId="0" borderId="0"/>
    <xf numFmtId="0" fontId="52" fillId="0" borderId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53" fillId="0" borderId="0" applyNumberFormat="0" applyFill="0" applyBorder="0" applyAlignment="0" applyProtection="0"/>
    <xf numFmtId="0" fontId="9" fillId="0" borderId="9" applyNumberFormat="0" applyAlignment="0" applyProtection="0">
      <alignment horizontal="left" vertical="center"/>
    </xf>
    <xf numFmtId="0" fontId="9" fillId="0" borderId="10">
      <alignment horizontal="left" vertical="center"/>
    </xf>
    <xf numFmtId="0" fontId="54" fillId="0" borderId="0">
      <alignment horizontal="center"/>
    </xf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73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74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15" applyNumberFormat="0" applyFill="0" applyAlignment="0" applyProtection="0"/>
    <xf numFmtId="0" fontId="75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84" fontId="6" fillId="0" borderId="0">
      <protection locked="0"/>
    </xf>
    <xf numFmtId="184" fontId="6" fillId="0" borderId="0">
      <protection locked="0"/>
    </xf>
    <xf numFmtId="0" fontId="29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0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12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0" fillId="9" borderId="7" applyNumberFormat="0" applyAlignment="0" applyProtection="0"/>
    <xf numFmtId="0" fontId="2" fillId="28" borderId="0"/>
    <xf numFmtId="0" fontId="2" fillId="28" borderId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8" fillId="0" borderId="19" applyNumberFormat="0" applyFill="0" applyAlignment="0" applyProtection="0"/>
    <xf numFmtId="185" fontId="6" fillId="0" borderId="2">
      <alignment horizontal="center"/>
    </xf>
    <xf numFmtId="185" fontId="6" fillId="0" borderId="2">
      <alignment horizontal="center"/>
    </xf>
    <xf numFmtId="186" fontId="55" fillId="0" borderId="0"/>
    <xf numFmtId="17" fontId="56" fillId="0" borderId="0">
      <alignment horizontal="center"/>
    </xf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76" fillId="12" borderId="0" applyNumberFormat="0" applyBorder="0" applyAlignment="0" applyProtection="0"/>
    <xf numFmtId="43" fontId="57" fillId="0" borderId="0" applyNumberFormat="0" applyFill="0" applyBorder="0" applyAlignment="0" applyProtection="0"/>
    <xf numFmtId="0" fontId="35" fillId="0" borderId="0" applyNumberFormat="0" applyFill="0" applyAlignment="0" applyProtection="0"/>
    <xf numFmtId="37" fontId="58" fillId="0" borderId="0"/>
    <xf numFmtId="189" fontId="59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0" fillId="0" borderId="0"/>
    <xf numFmtId="0" fontId="72" fillId="0" borderId="0"/>
    <xf numFmtId="0" fontId="72" fillId="0" borderId="0"/>
    <xf numFmtId="0" fontId="70" fillId="0" borderId="0"/>
    <xf numFmtId="0" fontId="30" fillId="0" borderId="0"/>
    <xf numFmtId="165" fontId="5" fillId="0" borderId="0" applyProtection="0"/>
    <xf numFmtId="0" fontId="6" fillId="0" borderId="0"/>
    <xf numFmtId="165" fontId="5" fillId="0" borderId="0" applyProtection="0"/>
    <xf numFmtId="0" fontId="6" fillId="0" borderId="0"/>
    <xf numFmtId="165" fontId="5" fillId="0" borderId="0" applyProtection="0"/>
    <xf numFmtId="0" fontId="48" fillId="0" borderId="0"/>
    <xf numFmtId="0" fontId="81" fillId="0" borderId="0"/>
    <xf numFmtId="0" fontId="72" fillId="0" borderId="0"/>
    <xf numFmtId="0" fontId="48" fillId="0" borderId="0"/>
    <xf numFmtId="0" fontId="30" fillId="0" borderId="0"/>
    <xf numFmtId="165" fontId="5" fillId="0" borderId="0" applyProtection="0"/>
    <xf numFmtId="0" fontId="30" fillId="0" borderId="0"/>
    <xf numFmtId="165" fontId="5" fillId="0" borderId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2">
      <alignment horizontal="center" wrapText="1"/>
    </xf>
    <xf numFmtId="0" fontId="6" fillId="0" borderId="2">
      <alignment horizontal="center" wrapText="1"/>
    </xf>
    <xf numFmtId="2" fontId="6" fillId="0" borderId="2">
      <alignment horizontal="center"/>
    </xf>
    <xf numFmtId="2" fontId="6" fillId="0" borderId="2">
      <alignment horizontal="center"/>
    </xf>
    <xf numFmtId="190" fontId="3" fillId="0" borderId="2" applyFont="0">
      <alignment horizontal="center"/>
    </xf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165" fontId="5" fillId="0" borderId="0" applyProtection="0"/>
    <xf numFmtId="165" fontId="5" fillId="0" borderId="0" applyProtection="0"/>
    <xf numFmtId="0" fontId="1" fillId="0" borderId="0"/>
    <xf numFmtId="0" fontId="78" fillId="0" borderId="0"/>
    <xf numFmtId="0" fontId="7" fillId="7" borderId="20" applyNumberFormat="0" applyFont="0" applyAlignment="0" applyProtection="0"/>
    <xf numFmtId="0" fontId="6" fillId="7" borderId="20" applyNumberFormat="0" applyFont="0" applyAlignment="0" applyProtection="0"/>
    <xf numFmtId="0" fontId="10" fillId="7" borderId="20" applyNumberFormat="0" applyFont="0" applyAlignment="0" applyProtection="0"/>
    <xf numFmtId="0" fontId="72" fillId="7" borderId="20" applyNumberFormat="0" applyFont="0" applyAlignment="0" applyProtection="0"/>
    <xf numFmtId="1" fontId="6" fillId="0" borderId="2">
      <alignment horizontal="center"/>
    </xf>
    <xf numFmtId="0" fontId="23" fillId="25" borderId="21" applyNumberFormat="0" applyAlignment="0" applyProtection="0"/>
    <xf numFmtId="0" fontId="23" fillId="25" borderId="21" applyNumberFormat="0" applyAlignment="0" applyProtection="0"/>
    <xf numFmtId="0" fontId="23" fillId="26" borderId="21" applyNumberFormat="0" applyAlignment="0" applyProtection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3">
      <alignment horizontal="center"/>
    </xf>
    <xf numFmtId="3" fontId="24" fillId="0" borderId="0" applyFont="0" applyFill="0" applyBorder="0" applyAlignment="0" applyProtection="0"/>
    <xf numFmtId="0" fontId="24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42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0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191" fontId="2" fillId="0" borderId="4" applyFill="0">
      <alignment horizontal="right"/>
    </xf>
    <xf numFmtId="191" fontId="2" fillId="0" borderId="4" applyFill="0">
      <alignment horizontal="right"/>
    </xf>
    <xf numFmtId="0" fontId="6" fillId="0" borderId="0" applyNumberFormat="0" applyFont="0" applyBorder="0" applyAlignment="0"/>
    <xf numFmtId="0" fontId="39" fillId="0" borderId="0" applyFill="0">
      <alignment horizontal="left" indent="1"/>
    </xf>
    <xf numFmtId="0" fontId="4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6" fillId="0" borderId="0" applyNumberFormat="0" applyFont="0" applyFill="0" applyBorder="0" applyAlignment="0"/>
    <xf numFmtId="0" fontId="39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6" fillId="0" borderId="0" applyNumberFormat="0" applyFont="0" applyBorder="0" applyAlignment="0"/>
    <xf numFmtId="0" fontId="61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6" fillId="0" borderId="0" applyNumberFormat="0" applyFont="0" applyBorder="0" applyAlignment="0"/>
    <xf numFmtId="0" fontId="41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42" fillId="0" borderId="0" applyFill="0">
      <alignment horizontal="right"/>
    </xf>
    <xf numFmtId="0" fontId="6" fillId="0" borderId="0" applyNumberFormat="0" applyFont="0" applyBorder="0" applyAlignment="0"/>
    <xf numFmtId="0" fontId="43" fillId="0" borderId="0">
      <alignment horizontal="left" indent="5"/>
    </xf>
    <xf numFmtId="0" fontId="42" fillId="0" borderId="0" applyFill="0">
      <alignment horizontal="left"/>
    </xf>
    <xf numFmtId="37" fontId="42" fillId="0" borderId="0" applyFill="0">
      <alignment horizontal="right"/>
    </xf>
    <xf numFmtId="0" fontId="6" fillId="0" borderId="0" applyNumberFormat="0" applyFont="0" applyFill="0" applyBorder="0" applyAlignment="0"/>
    <xf numFmtId="0" fontId="45" fillId="0" borderId="0" applyFill="0">
      <alignment horizontal="left" indent="6"/>
    </xf>
    <xf numFmtId="0" fontId="42" fillId="0" borderId="0" applyFill="0">
      <alignment horizontal="left"/>
    </xf>
    <xf numFmtId="38" fontId="30" fillId="31" borderId="4">
      <alignment horizontal="right"/>
    </xf>
    <xf numFmtId="38" fontId="6" fillId="32" borderId="0" applyNumberFormat="0" applyFont="0" applyBorder="0" applyAlignment="0" applyProtection="0"/>
    <xf numFmtId="0" fontId="62" fillId="0" borderId="0" applyNumberFormat="0" applyAlignment="0">
      <alignment horizontal="centerContinuous"/>
    </xf>
    <xf numFmtId="0" fontId="35" fillId="0" borderId="4" applyNumberFormat="0" applyFill="0" applyAlignment="0" applyProtection="0"/>
    <xf numFmtId="37" fontId="63" fillId="0" borderId="0" applyNumberFormat="0">
      <alignment horizontal="left"/>
    </xf>
    <xf numFmtId="192" fontId="6" fillId="0" borderId="2">
      <alignment horizontal="center" wrapText="1"/>
    </xf>
    <xf numFmtId="192" fontId="6" fillId="0" borderId="2">
      <alignment horizontal="center" wrapText="1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75" fontId="6" fillId="0" borderId="0" applyFill="0" applyBorder="0" applyAlignment="0" applyProtection="0">
      <alignment wrapText="1"/>
    </xf>
    <xf numFmtId="37" fontId="64" fillId="0" borderId="0" applyNumberFormat="0">
      <alignment horizontal="left"/>
    </xf>
    <xf numFmtId="37" fontId="65" fillId="0" borderId="0" applyNumberFormat="0">
      <alignment horizontal="left"/>
    </xf>
    <xf numFmtId="37" fontId="66" fillId="0" borderId="0" applyNumberFormat="0">
      <alignment horizontal="left"/>
    </xf>
    <xf numFmtId="186" fontId="67" fillId="0" borderId="0"/>
    <xf numFmtId="40" fontId="68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69" fillId="0" borderId="17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6">
    <xf numFmtId="0" fontId="0" fillId="0" borderId="0" xfId="0"/>
    <xf numFmtId="166" fontId="3" fillId="0" borderId="0" xfId="270" applyNumberFormat="1" applyFont="1" applyAlignment="1">
      <alignment horizontal="right"/>
    </xf>
    <xf numFmtId="0" fontId="6" fillId="0" borderId="0" xfId="0" applyFont="1"/>
    <xf numFmtId="164" fontId="0" fillId="0" borderId="0" xfId="139" applyNumberFormat="1" applyFont="1"/>
    <xf numFmtId="0" fontId="6" fillId="33" borderId="2" xfId="0" applyFont="1" applyFill="1" applyBorder="1"/>
    <xf numFmtId="0" fontId="0" fillId="33" borderId="2" xfId="0" applyFill="1" applyBorder="1"/>
    <xf numFmtId="0" fontId="6" fillId="33" borderId="2" xfId="0" applyFont="1" applyFill="1" applyBorder="1" applyAlignment="1">
      <alignment horizontal="center"/>
    </xf>
    <xf numFmtId="0" fontId="6" fillId="0" borderId="2" xfId="0" applyFont="1" applyBorder="1"/>
    <xf numFmtId="0" fontId="6" fillId="33" borderId="2" xfId="0" applyFont="1" applyFill="1" applyBorder="1" applyAlignment="1">
      <alignment horizontal="center" wrapText="1"/>
    </xf>
    <xf numFmtId="0" fontId="6" fillId="0" borderId="0" xfId="0" quotePrefix="1" applyFont="1"/>
    <xf numFmtId="0" fontId="6" fillId="0" borderId="4" xfId="0" applyFont="1" applyBorder="1"/>
    <xf numFmtId="0" fontId="3" fillId="0" borderId="0" xfId="0" applyFont="1"/>
    <xf numFmtId="0" fontId="6" fillId="34" borderId="2" xfId="0" applyFont="1" applyFill="1" applyBorder="1"/>
    <xf numFmtId="172" fontId="0" fillId="0" borderId="0" xfId="0" applyNumberFormat="1"/>
    <xf numFmtId="4" fontId="0" fillId="0" borderId="0" xfId="0" applyNumberFormat="1"/>
    <xf numFmtId="174" fontId="0" fillId="0" borderId="0" xfId="158" applyNumberFormat="1" applyFont="1" applyFill="1"/>
    <xf numFmtId="173" fontId="0" fillId="0" borderId="6" xfId="0" applyNumberFormat="1" applyBorder="1"/>
    <xf numFmtId="170" fontId="0" fillId="0" borderId="0" xfId="0" applyNumberFormat="1"/>
    <xf numFmtId="170" fontId="0" fillId="0" borderId="2" xfId="0" applyNumberFormat="1" applyBorder="1"/>
    <xf numFmtId="167" fontId="0" fillId="0" borderId="2" xfId="0" applyNumberFormat="1" applyBorder="1"/>
    <xf numFmtId="166" fontId="3" fillId="0" borderId="0" xfId="271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8" fontId="80" fillId="0" borderId="0" xfId="0" applyNumberFormat="1" applyFont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6" fillId="33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0" fillId="0" borderId="24" xfId="263" applyNumberFormat="1" applyFont="1" applyBorder="1" applyAlignment="1">
      <alignment horizontal="center"/>
    </xf>
    <xf numFmtId="1" fontId="30" fillId="0" borderId="26" xfId="263" applyNumberFormat="1" applyFont="1" applyBorder="1" applyAlignment="1">
      <alignment horizontal="center"/>
    </xf>
    <xf numFmtId="1" fontId="30" fillId="0" borderId="35" xfId="263" applyNumberFormat="1" applyFont="1" applyBorder="1" applyAlignment="1">
      <alignment horizontal="center"/>
    </xf>
    <xf numFmtId="1" fontId="30" fillId="0" borderId="25" xfId="263" applyNumberFormat="1" applyFont="1" applyBorder="1" applyAlignment="1">
      <alignment horizontal="center"/>
    </xf>
    <xf numFmtId="1" fontId="30" fillId="0" borderId="27" xfId="263" applyNumberFormat="1" applyFont="1" applyBorder="1" applyAlignment="1">
      <alignment horizontal="center"/>
    </xf>
    <xf numFmtId="1" fontId="30" fillId="0" borderId="28" xfId="263" applyNumberFormat="1" applyFont="1" applyBorder="1" applyAlignment="1">
      <alignment horizontal="center"/>
    </xf>
    <xf numFmtId="1" fontId="30" fillId="0" borderId="36" xfId="263" applyNumberFormat="1" applyFont="1" applyBorder="1" applyAlignment="1">
      <alignment horizontal="center"/>
    </xf>
    <xf numFmtId="1" fontId="30" fillId="0" borderId="0" xfId="263" applyNumberFormat="1" applyFont="1" applyAlignment="1">
      <alignment horizontal="center"/>
    </xf>
    <xf numFmtId="1" fontId="30" fillId="0" borderId="29" xfId="263" applyNumberFormat="1" applyFont="1" applyBorder="1" applyAlignment="1">
      <alignment horizontal="center"/>
    </xf>
    <xf numFmtId="1" fontId="30" fillId="0" borderId="30" xfId="263" applyNumberFormat="1" applyFont="1" applyBorder="1" applyAlignment="1">
      <alignment horizontal="center"/>
    </xf>
    <xf numFmtId="1" fontId="30" fillId="0" borderId="37" xfId="263" applyNumberFormat="1" applyFont="1" applyBorder="1" applyAlignment="1">
      <alignment horizontal="center"/>
    </xf>
    <xf numFmtId="0" fontId="82" fillId="0" borderId="0" xfId="263" applyFont="1"/>
    <xf numFmtId="0" fontId="30" fillId="0" borderId="0" xfId="263" applyFont="1"/>
    <xf numFmtId="0" fontId="30" fillId="0" borderId="0" xfId="0" applyFont="1"/>
    <xf numFmtId="0" fontId="82" fillId="0" borderId="0" xfId="263" applyFont="1" applyAlignment="1">
      <alignment horizontal="right"/>
    </xf>
    <xf numFmtId="0" fontId="82" fillId="0" borderId="0" xfId="266" applyFont="1" applyAlignment="1">
      <alignment horizontal="right"/>
    </xf>
    <xf numFmtId="0" fontId="30" fillId="0" borderId="0" xfId="266" applyFont="1" applyAlignment="1">
      <alignment horizontal="center"/>
    </xf>
    <xf numFmtId="0" fontId="30" fillId="0" borderId="0" xfId="266" applyFont="1"/>
    <xf numFmtId="0" fontId="82" fillId="0" borderId="0" xfId="266" applyFont="1" applyAlignment="1">
      <alignment horizontal="center"/>
    </xf>
    <xf numFmtId="0" fontId="82" fillId="0" borderId="0" xfId="266" applyFont="1" applyAlignment="1">
      <alignment horizontal="center"/>
    </xf>
    <xf numFmtId="165" fontId="30" fillId="0" borderId="0" xfId="268" applyFont="1" applyAlignment="1">
      <alignment horizontal="center"/>
    </xf>
    <xf numFmtId="0" fontId="30" fillId="0" borderId="0" xfId="267" applyFont="1" applyAlignment="1">
      <alignment horizontal="center"/>
    </xf>
    <xf numFmtId="0" fontId="30" fillId="0" borderId="0" xfId="267" applyFont="1"/>
    <xf numFmtId="0" fontId="82" fillId="0" borderId="33" xfId="267" applyFont="1" applyBorder="1" applyAlignment="1">
      <alignment horizontal="center"/>
    </xf>
    <xf numFmtId="0" fontId="82" fillId="0" borderId="10" xfId="267" applyFont="1" applyBorder="1" applyAlignment="1">
      <alignment horizontal="center"/>
    </xf>
    <xf numFmtId="0" fontId="82" fillId="0" borderId="34" xfId="267" applyFont="1" applyBorder="1" applyAlignment="1">
      <alignment horizontal="center"/>
    </xf>
    <xf numFmtId="0" fontId="30" fillId="0" borderId="0" xfId="265" applyFont="1"/>
    <xf numFmtId="165" fontId="84" fillId="0" borderId="0" xfId="268" applyFont="1"/>
    <xf numFmtId="165" fontId="30" fillId="0" borderId="4" xfId="268" applyFont="1" applyBorder="1" applyAlignment="1">
      <alignment horizontal="center"/>
    </xf>
    <xf numFmtId="0" fontId="30" fillId="0" borderId="0" xfId="268" applyNumberFormat="1" applyFont="1" applyAlignment="1">
      <alignment horizontal="center"/>
    </xf>
    <xf numFmtId="0" fontId="30" fillId="0" borderId="24" xfId="265" applyFont="1" applyBorder="1" applyAlignment="1">
      <alignment horizontal="center"/>
    </xf>
    <xf numFmtId="0" fontId="30" fillId="0" borderId="25" xfId="265" applyFont="1" applyBorder="1" applyAlignment="1">
      <alignment horizontal="center"/>
    </xf>
    <xf numFmtId="0" fontId="30" fillId="0" borderId="26" xfId="265" applyFont="1" applyBorder="1" applyAlignment="1">
      <alignment horizontal="center"/>
    </xf>
    <xf numFmtId="0" fontId="30" fillId="0" borderId="27" xfId="265" applyFont="1" applyBorder="1" applyAlignment="1">
      <alignment horizontal="center"/>
    </xf>
    <xf numFmtId="0" fontId="30" fillId="0" borderId="0" xfId="265" applyFont="1" applyAlignment="1">
      <alignment horizontal="center"/>
    </xf>
    <xf numFmtId="0" fontId="30" fillId="0" borderId="28" xfId="265" applyFont="1" applyBorder="1" applyAlignment="1">
      <alignment horizontal="center"/>
    </xf>
    <xf numFmtId="0" fontId="30" fillId="0" borderId="0" xfId="265" applyFont="1" applyAlignment="1">
      <alignment horizontal="left"/>
    </xf>
    <xf numFmtId="0" fontId="30" fillId="0" borderId="29" xfId="265" applyFont="1" applyBorder="1" applyAlignment="1">
      <alignment horizontal="center"/>
    </xf>
    <xf numFmtId="0" fontId="30" fillId="0" borderId="3" xfId="265" applyFont="1" applyBorder="1" applyAlignment="1">
      <alignment horizontal="center"/>
    </xf>
    <xf numFmtId="0" fontId="30" fillId="0" borderId="30" xfId="265" applyFont="1" applyBorder="1" applyAlignment="1">
      <alignment horizontal="center"/>
    </xf>
    <xf numFmtId="0" fontId="30" fillId="0" borderId="24" xfId="265" quotePrefix="1" applyFont="1" applyBorder="1" applyAlignment="1">
      <alignment horizontal="left"/>
    </xf>
    <xf numFmtId="1" fontId="30" fillId="0" borderId="26" xfId="264" applyNumberFormat="1" applyFont="1" applyBorder="1" applyAlignment="1">
      <alignment horizontal="center"/>
    </xf>
    <xf numFmtId="1" fontId="30" fillId="0" borderId="0" xfId="0" applyNumberFormat="1" applyFont="1"/>
    <xf numFmtId="0" fontId="30" fillId="0" borderId="27" xfId="265" quotePrefix="1" applyFont="1" applyBorder="1" applyAlignment="1">
      <alignment horizontal="left"/>
    </xf>
    <xf numFmtId="1" fontId="30" fillId="0" borderId="28" xfId="264" applyNumberFormat="1" applyFont="1" applyBorder="1" applyAlignment="1">
      <alignment horizontal="center"/>
    </xf>
    <xf numFmtId="1" fontId="30" fillId="0" borderId="30" xfId="264" applyNumberFormat="1" applyFont="1" applyBorder="1" applyAlignment="1">
      <alignment horizontal="center"/>
    </xf>
    <xf numFmtId="0" fontId="30" fillId="0" borderId="29" xfId="265" applyFont="1" applyBorder="1"/>
    <xf numFmtId="1" fontId="30" fillId="0" borderId="28" xfId="265" applyNumberFormat="1" applyFont="1" applyBorder="1"/>
    <xf numFmtId="1" fontId="30" fillId="0" borderId="28" xfId="265" applyNumberFormat="1" applyFont="1" applyBorder="1" applyAlignment="1">
      <alignment horizontal="center"/>
    </xf>
    <xf numFmtId="1" fontId="30" fillId="0" borderId="0" xfId="265" applyNumberFormat="1" applyFont="1" applyAlignment="1">
      <alignment horizontal="center"/>
    </xf>
    <xf numFmtId="1" fontId="30" fillId="0" borderId="30" xfId="265" applyNumberFormat="1" applyFont="1" applyBorder="1" applyAlignment="1">
      <alignment horizontal="center"/>
    </xf>
    <xf numFmtId="1" fontId="30" fillId="0" borderId="32" xfId="265" applyNumberFormat="1" applyFont="1" applyBorder="1" applyAlignment="1">
      <alignment horizontal="center"/>
    </xf>
    <xf numFmtId="0" fontId="30" fillId="0" borderId="31" xfId="265" applyFont="1" applyBorder="1"/>
    <xf numFmtId="1" fontId="30" fillId="0" borderId="24" xfId="264" applyNumberFormat="1" applyFont="1" applyBorder="1" applyAlignment="1">
      <alignment horizontal="center"/>
    </xf>
    <xf numFmtId="1" fontId="30" fillId="0" borderId="35" xfId="264" applyNumberFormat="1" applyFont="1" applyBorder="1" applyAlignment="1">
      <alignment horizontal="center"/>
    </xf>
    <xf numFmtId="1" fontId="30" fillId="0" borderId="25" xfId="264" applyNumberFormat="1" applyFont="1" applyBorder="1" applyAlignment="1">
      <alignment horizontal="center"/>
    </xf>
    <xf numFmtId="1" fontId="30" fillId="0" borderId="27" xfId="264" applyNumberFormat="1" applyFont="1" applyBorder="1" applyAlignment="1">
      <alignment horizontal="center"/>
    </xf>
    <xf numFmtId="1" fontId="30" fillId="0" borderId="36" xfId="264" applyNumberFormat="1" applyFont="1" applyBorder="1" applyAlignment="1">
      <alignment horizontal="center"/>
    </xf>
    <xf numFmtId="1" fontId="30" fillId="0" borderId="0" xfId="264" applyNumberFormat="1" applyFont="1" applyAlignment="1">
      <alignment horizontal="center"/>
    </xf>
    <xf numFmtId="1" fontId="30" fillId="0" borderId="29" xfId="264" applyNumberFormat="1" applyFont="1" applyBorder="1" applyAlignment="1">
      <alignment horizontal="center"/>
    </xf>
    <xf numFmtId="1" fontId="30" fillId="0" borderId="37" xfId="264" applyNumberFormat="1" applyFont="1" applyBorder="1" applyAlignment="1">
      <alignment horizontal="center"/>
    </xf>
    <xf numFmtId="0" fontId="30" fillId="0" borderId="27" xfId="265" applyFont="1" applyBorder="1"/>
    <xf numFmtId="0" fontId="30" fillId="0" borderId="0" xfId="264" applyFont="1" applyAlignment="1">
      <alignment horizontal="left"/>
    </xf>
    <xf numFmtId="37" fontId="30" fillId="0" borderId="26" xfId="264" applyNumberFormat="1" applyFont="1" applyBorder="1" applyAlignment="1">
      <alignment horizontal="center"/>
    </xf>
    <xf numFmtId="37" fontId="30" fillId="0" borderId="28" xfId="264" applyNumberFormat="1" applyFont="1" applyBorder="1" applyAlignment="1">
      <alignment horizontal="center"/>
    </xf>
    <xf numFmtId="37" fontId="30" fillId="0" borderId="28" xfId="265" applyNumberFormat="1" applyFont="1" applyBorder="1"/>
    <xf numFmtId="37" fontId="30" fillId="0" borderId="28" xfId="265" applyNumberFormat="1" applyFont="1" applyBorder="1" applyAlignment="1">
      <alignment horizontal="center"/>
    </xf>
    <xf numFmtId="37" fontId="30" fillId="0" borderId="0" xfId="265" applyNumberFormat="1" applyFont="1" applyAlignment="1">
      <alignment horizontal="center"/>
    </xf>
    <xf numFmtId="37" fontId="30" fillId="0" borderId="30" xfId="265" applyNumberFormat="1" applyFont="1" applyBorder="1" applyAlignment="1">
      <alignment horizontal="center"/>
    </xf>
    <xf numFmtId="37" fontId="30" fillId="0" borderId="32" xfId="265" applyNumberFormat="1" applyFont="1" applyBorder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170" fontId="3" fillId="33" borderId="2" xfId="0" applyNumberFormat="1" applyFont="1" applyFill="1" applyBorder="1"/>
    <xf numFmtId="167" fontId="3" fillId="33" borderId="2" xfId="0" applyNumberFormat="1" applyFont="1" applyFill="1" applyBorder="1"/>
    <xf numFmtId="0" fontId="3" fillId="33" borderId="2" xfId="0" applyFont="1" applyFill="1" applyBorder="1"/>
    <xf numFmtId="0" fontId="82" fillId="0" borderId="0" xfId="270" applyFont="1" applyAlignment="1">
      <alignment horizontal="left"/>
    </xf>
    <xf numFmtId="0" fontId="30" fillId="0" borderId="0" xfId="270" applyFont="1"/>
    <xf numFmtId="166" fontId="30" fillId="0" borderId="0" xfId="270" applyNumberFormat="1" applyFont="1"/>
    <xf numFmtId="0" fontId="30" fillId="0" borderId="0" xfId="270" applyFont="1" applyAlignment="1">
      <alignment horizontal="left"/>
    </xf>
    <xf numFmtId="0" fontId="30" fillId="0" borderId="0" xfId="0" applyFont="1" applyAlignment="1">
      <alignment horizontal="left"/>
    </xf>
    <xf numFmtId="166" fontId="82" fillId="0" borderId="0" xfId="270" applyNumberFormat="1" applyFont="1" applyAlignment="1">
      <alignment horizontal="right"/>
    </xf>
    <xf numFmtId="165" fontId="30" fillId="0" borderId="0" xfId="269" applyFont="1"/>
    <xf numFmtId="165" fontId="30" fillId="0" borderId="0" xfId="269" applyFont="1" applyAlignment="1">
      <alignment horizontal="left"/>
    </xf>
    <xf numFmtId="165" fontId="30" fillId="0" borderId="0" xfId="269" applyFont="1" applyAlignment="1">
      <alignment horizontal="center"/>
    </xf>
    <xf numFmtId="0" fontId="30" fillId="0" borderId="4" xfId="270" applyFont="1" applyBorder="1" applyAlignment="1">
      <alignment horizontal="center"/>
    </xf>
    <xf numFmtId="0" fontId="30" fillId="0" borderId="0" xfId="270" quotePrefix="1" applyFont="1" applyAlignment="1">
      <alignment horizontal="left"/>
    </xf>
    <xf numFmtId="171" fontId="30" fillId="0" borderId="0" xfId="270" applyNumberFormat="1" applyFont="1" applyAlignment="1">
      <alignment horizontal="center"/>
    </xf>
    <xf numFmtId="0" fontId="30" fillId="0" borderId="0" xfId="270" applyFont="1" applyAlignment="1">
      <alignment horizontal="center"/>
    </xf>
    <xf numFmtId="0" fontId="30" fillId="0" borderId="3" xfId="270" applyFont="1" applyBorder="1"/>
    <xf numFmtId="166" fontId="30" fillId="0" borderId="3" xfId="270" applyNumberFormat="1" applyFont="1" applyBorder="1"/>
    <xf numFmtId="3" fontId="30" fillId="0" borderId="0" xfId="270" applyNumberFormat="1" applyFont="1"/>
    <xf numFmtId="165" fontId="30" fillId="0" borderId="0" xfId="269" applyFont="1" applyAlignment="1">
      <alignment horizontal="right"/>
    </xf>
    <xf numFmtId="169" fontId="30" fillId="0" borderId="0" xfId="270" applyNumberFormat="1" applyFont="1"/>
    <xf numFmtId="168" fontId="30" fillId="0" borderId="0" xfId="270" applyNumberFormat="1" applyFont="1"/>
    <xf numFmtId="169" fontId="30" fillId="0" borderId="0" xfId="269" applyNumberFormat="1" applyFont="1"/>
    <xf numFmtId="168" fontId="30" fillId="0" borderId="0" xfId="269" applyNumberFormat="1" applyFont="1"/>
    <xf numFmtId="10" fontId="30" fillId="0" borderId="0" xfId="280" applyNumberFormat="1" applyFont="1"/>
    <xf numFmtId="165" fontId="30" fillId="0" borderId="0" xfId="270" applyNumberFormat="1" applyFont="1"/>
    <xf numFmtId="0" fontId="1" fillId="0" borderId="0" xfId="0" quotePrefix="1" applyFont="1" applyAlignment="1">
      <alignment horizontal="left" indent="1"/>
    </xf>
    <xf numFmtId="0" fontId="6" fillId="0" borderId="0" xfId="0" quotePrefix="1" applyFont="1" applyAlignment="1">
      <alignment horizontal="left" indent="1"/>
    </xf>
    <xf numFmtId="173" fontId="6" fillId="0" borderId="0" xfId="280" applyNumberFormat="1" applyFont="1" applyFill="1" applyAlignment="1"/>
    <xf numFmtId="165" fontId="84" fillId="0" borderId="0" xfId="269" applyFont="1"/>
    <xf numFmtId="165" fontId="84" fillId="0" borderId="0" xfId="269" applyFont="1" applyAlignment="1">
      <alignment horizontal="left"/>
    </xf>
    <xf numFmtId="165" fontId="84" fillId="0" borderId="0" xfId="269" applyFont="1" applyAlignment="1">
      <alignment horizontal="center"/>
    </xf>
    <xf numFmtId="3" fontId="85" fillId="0" borderId="0" xfId="270" applyNumberFormat="1" applyFont="1"/>
    <xf numFmtId="165" fontId="84" fillId="0" borderId="0" xfId="269" applyFont="1" applyAlignment="1">
      <alignment horizontal="right"/>
    </xf>
    <xf numFmtId="169" fontId="84" fillId="0" borderId="0" xfId="269" applyNumberFormat="1" applyFont="1"/>
    <xf numFmtId="168" fontId="84" fillId="0" borderId="0" xfId="269" applyNumberFormat="1" applyFont="1"/>
    <xf numFmtId="44" fontId="30" fillId="0" borderId="0" xfId="154" applyFont="1"/>
    <xf numFmtId="2" fontId="30" fillId="0" borderId="0" xfId="0" applyNumberFormat="1" applyFont="1"/>
    <xf numFmtId="167" fontId="30" fillId="0" borderId="0" xfId="0" applyNumberFormat="1" applyFont="1"/>
    <xf numFmtId="0" fontId="1" fillId="0" borderId="0" xfId="0" applyFont="1" applyFill="1"/>
    <xf numFmtId="172" fontId="1" fillId="0" borderId="0" xfId="158" applyNumberFormat="1" applyFont="1" applyFill="1"/>
    <xf numFmtId="172" fontId="1" fillId="0" borderId="4" xfId="159" applyNumberFormat="1" applyFont="1" applyFill="1" applyBorder="1"/>
    <xf numFmtId="172" fontId="1" fillId="0" borderId="0" xfId="0" applyNumberFormat="1" applyFont="1" applyFill="1"/>
    <xf numFmtId="0" fontId="1" fillId="0" borderId="4" xfId="0" applyFont="1" applyFill="1" applyBorder="1"/>
    <xf numFmtId="4" fontId="1" fillId="0" borderId="0" xfId="0" applyNumberFormat="1" applyFont="1" applyFill="1"/>
    <xf numFmtId="4" fontId="1" fillId="0" borderId="0" xfId="0" applyNumberFormat="1" applyFont="1"/>
  </cellXfs>
  <cellStyles count="388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1 3" xfId="14" xr:uid="{00000000-0005-0000-0000-00000D000000}"/>
    <cellStyle name="20% - Accent2" xfId="15" builtinId="34" customBuiltin="1"/>
    <cellStyle name="20% - Accent2 2" xfId="16" xr:uid="{00000000-0005-0000-0000-00000F000000}"/>
    <cellStyle name="20% - Accent2 3" xfId="17" xr:uid="{00000000-0005-0000-0000-000010000000}"/>
    <cellStyle name="20% - Accent3" xfId="18" builtinId="38" customBuiltin="1"/>
    <cellStyle name="20% - Accent3 2" xfId="19" xr:uid="{00000000-0005-0000-0000-000012000000}"/>
    <cellStyle name="20% - Accent3 3" xfId="20" xr:uid="{00000000-0005-0000-0000-000013000000}"/>
    <cellStyle name="20% - Accent4" xfId="21" builtinId="42" customBuiltin="1"/>
    <cellStyle name="20% - Accent4 2" xfId="22" xr:uid="{00000000-0005-0000-0000-000015000000}"/>
    <cellStyle name="20% - Accent4 3" xfId="23" xr:uid="{00000000-0005-0000-0000-000016000000}"/>
    <cellStyle name="20% - Accent5" xfId="24" builtinId="46" customBuiltin="1"/>
    <cellStyle name="20% - Accent5 2" xfId="25" xr:uid="{00000000-0005-0000-0000-000018000000}"/>
    <cellStyle name="20% - Accent6" xfId="26" builtinId="50" customBuiltin="1"/>
    <cellStyle name="20% - Accent6 2" xfId="27" xr:uid="{00000000-0005-0000-0000-00001A000000}"/>
    <cellStyle name="20% - Accent6 3" xfId="28" xr:uid="{00000000-0005-0000-0000-00001B000000}"/>
    <cellStyle name="40% - Accent1" xfId="29" builtinId="31" customBuiltin="1"/>
    <cellStyle name="40% - Accent1 2" xfId="30" xr:uid="{00000000-0005-0000-0000-00001D000000}"/>
    <cellStyle name="40% - Accent1 3" xfId="31" xr:uid="{00000000-0005-0000-0000-00001E000000}"/>
    <cellStyle name="40% - Accent2" xfId="32" builtinId="35" customBuiltin="1"/>
    <cellStyle name="40% - Accent2 2" xfId="33" xr:uid="{00000000-0005-0000-0000-000020000000}"/>
    <cellStyle name="40% - Accent3" xfId="34" builtinId="39" customBuiltin="1"/>
    <cellStyle name="40% - Accent3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3" xfId="39" xr:uid="{00000000-0005-0000-0000-000026000000}"/>
    <cellStyle name="40% - Accent5" xfId="40" builtinId="47" customBuiltin="1"/>
    <cellStyle name="40% - Accent5 2" xfId="41" xr:uid="{00000000-0005-0000-0000-000028000000}"/>
    <cellStyle name="40% - Accent5 3" xfId="42" xr:uid="{00000000-0005-0000-0000-000029000000}"/>
    <cellStyle name="40% - Accent6" xfId="43" builtinId="51" customBuiltin="1"/>
    <cellStyle name="40% - Accent6 2" xfId="44" xr:uid="{00000000-0005-0000-0000-00002B000000}"/>
    <cellStyle name="40% - Accent6 3" xfId="45" xr:uid="{00000000-0005-0000-0000-00002C000000}"/>
    <cellStyle name="60% - Accent1" xfId="46" builtinId="32" customBuiltin="1"/>
    <cellStyle name="60% - Accent1 2" xfId="47" xr:uid="{00000000-0005-0000-0000-00002E000000}"/>
    <cellStyle name="60% - Accent1 3" xfId="48" xr:uid="{00000000-0005-0000-0000-00002F000000}"/>
    <cellStyle name="60% - Accent2" xfId="49" builtinId="36" customBuiltin="1"/>
    <cellStyle name="60% - Accent2 2" xfId="50" xr:uid="{00000000-0005-0000-0000-000031000000}"/>
    <cellStyle name="60% - Accent2 3" xfId="51" xr:uid="{00000000-0005-0000-0000-000032000000}"/>
    <cellStyle name="60% - Accent3" xfId="52" builtinId="40" customBuiltin="1"/>
    <cellStyle name="60% - Accent3 2" xfId="53" xr:uid="{00000000-0005-0000-0000-000034000000}"/>
    <cellStyle name="60% - Accent3 3" xfId="54" xr:uid="{00000000-0005-0000-0000-000035000000}"/>
    <cellStyle name="60% - Accent4" xfId="55" builtinId="44" customBuiltin="1"/>
    <cellStyle name="60% - Accent4 2" xfId="56" xr:uid="{00000000-0005-0000-0000-000037000000}"/>
    <cellStyle name="60% - Accent4 3" xfId="57" xr:uid="{00000000-0005-0000-0000-000038000000}"/>
    <cellStyle name="60% - Accent5" xfId="58" builtinId="48" customBuiltin="1"/>
    <cellStyle name="60% - Accent5 2" xfId="59" xr:uid="{00000000-0005-0000-0000-00003A000000}"/>
    <cellStyle name="60% - Accent5 3" xfId="60" xr:uid="{00000000-0005-0000-0000-00003B000000}"/>
    <cellStyle name="60% - Accent6" xfId="61" builtinId="52" customBuiltin="1"/>
    <cellStyle name="60% - Accent6 2" xfId="62" xr:uid="{00000000-0005-0000-0000-00003D000000}"/>
    <cellStyle name="60% - Accent6 3" xfId="63" xr:uid="{00000000-0005-0000-0000-00003E000000}"/>
    <cellStyle name="Accent1" xfId="64" builtinId="29" customBuiltin="1"/>
    <cellStyle name="Accent1 2" xfId="65" xr:uid="{00000000-0005-0000-0000-000040000000}"/>
    <cellStyle name="Accent1 3" xfId="66" xr:uid="{00000000-0005-0000-0000-000041000000}"/>
    <cellStyle name="Accent2" xfId="67" builtinId="33" customBuiltin="1"/>
    <cellStyle name="Accent2 2" xfId="68" xr:uid="{00000000-0005-0000-0000-000043000000}"/>
    <cellStyle name="Accent2 3" xfId="69" xr:uid="{00000000-0005-0000-0000-000044000000}"/>
    <cellStyle name="Accent3" xfId="70" builtinId="37" customBuiltin="1"/>
    <cellStyle name="Accent3 2" xfId="71" xr:uid="{00000000-0005-0000-0000-000046000000}"/>
    <cellStyle name="Accent3 3" xfId="72" xr:uid="{00000000-0005-0000-0000-000047000000}"/>
    <cellStyle name="Accent4" xfId="73" builtinId="41" customBuiltin="1"/>
    <cellStyle name="Accent4 2" xfId="74" xr:uid="{00000000-0005-0000-0000-000049000000}"/>
    <cellStyle name="Accent4 3" xfId="75" xr:uid="{00000000-0005-0000-0000-00004A000000}"/>
    <cellStyle name="Accent5" xfId="76" builtinId="45" customBuiltin="1"/>
    <cellStyle name="Accent5 2" xfId="77" xr:uid="{00000000-0005-0000-0000-00004C000000}"/>
    <cellStyle name="Accent6" xfId="78" builtinId="49" customBuiltin="1"/>
    <cellStyle name="Accent6 2" xfId="79" xr:uid="{00000000-0005-0000-0000-00004E000000}"/>
    <cellStyle name="Accent6 3" xfId="80" xr:uid="{00000000-0005-0000-0000-00004F000000}"/>
    <cellStyle name="Accounting" xfId="81" xr:uid="{00000000-0005-0000-0000-000050000000}"/>
    <cellStyle name="Actual Date" xfId="82" xr:uid="{00000000-0005-0000-0000-000051000000}"/>
    <cellStyle name="ADDR" xfId="83" xr:uid="{00000000-0005-0000-0000-000052000000}"/>
    <cellStyle name="ADDR 2" xfId="84" xr:uid="{00000000-0005-0000-0000-000053000000}"/>
    <cellStyle name="Agara" xfId="85" xr:uid="{00000000-0005-0000-0000-000054000000}"/>
    <cellStyle name="Bad" xfId="86" builtinId="27" customBuiltin="1"/>
    <cellStyle name="Bad 2" xfId="87" xr:uid="{00000000-0005-0000-0000-000056000000}"/>
    <cellStyle name="Bad 3" xfId="88" xr:uid="{00000000-0005-0000-0000-000057000000}"/>
    <cellStyle name="Body" xfId="89" xr:uid="{00000000-0005-0000-0000-000058000000}"/>
    <cellStyle name="Bottom bold border" xfId="90" xr:uid="{00000000-0005-0000-0000-000059000000}"/>
    <cellStyle name="Bottom single border" xfId="91" xr:uid="{00000000-0005-0000-0000-00005A000000}"/>
    <cellStyle name="Business Unit" xfId="92" xr:uid="{00000000-0005-0000-0000-00005B000000}"/>
    <cellStyle name="C00A" xfId="93" xr:uid="{00000000-0005-0000-0000-00005C000000}"/>
    <cellStyle name="C00A 2" xfId="94" xr:uid="{00000000-0005-0000-0000-00005D000000}"/>
    <cellStyle name="C00B" xfId="95" xr:uid="{00000000-0005-0000-0000-00005E000000}"/>
    <cellStyle name="C00B 2" xfId="96" xr:uid="{00000000-0005-0000-0000-00005F000000}"/>
    <cellStyle name="C00L" xfId="97" xr:uid="{00000000-0005-0000-0000-000060000000}"/>
    <cellStyle name="C00L 2" xfId="98" xr:uid="{00000000-0005-0000-0000-000061000000}"/>
    <cellStyle name="C01A" xfId="99" xr:uid="{00000000-0005-0000-0000-000062000000}"/>
    <cellStyle name="C01A 2" xfId="100" xr:uid="{00000000-0005-0000-0000-000063000000}"/>
    <cellStyle name="C01B" xfId="101" xr:uid="{00000000-0005-0000-0000-000064000000}"/>
    <cellStyle name="C01B 2" xfId="102" xr:uid="{00000000-0005-0000-0000-000065000000}"/>
    <cellStyle name="C01H" xfId="103" xr:uid="{00000000-0005-0000-0000-000066000000}"/>
    <cellStyle name="C01L" xfId="104" xr:uid="{00000000-0005-0000-0000-000067000000}"/>
    <cellStyle name="C02A" xfId="105" xr:uid="{00000000-0005-0000-0000-000068000000}"/>
    <cellStyle name="C02A 2" xfId="106" xr:uid="{00000000-0005-0000-0000-000069000000}"/>
    <cellStyle name="C02B" xfId="107" xr:uid="{00000000-0005-0000-0000-00006A000000}"/>
    <cellStyle name="C02H" xfId="108" xr:uid="{00000000-0005-0000-0000-00006B000000}"/>
    <cellStyle name="C02L" xfId="109" xr:uid="{00000000-0005-0000-0000-00006C000000}"/>
    <cellStyle name="C03A" xfId="110" xr:uid="{00000000-0005-0000-0000-00006D000000}"/>
    <cellStyle name="C03A 2" xfId="111" xr:uid="{00000000-0005-0000-0000-00006E000000}"/>
    <cellStyle name="C03B" xfId="112" xr:uid="{00000000-0005-0000-0000-00006F000000}"/>
    <cellStyle name="C03H" xfId="113" xr:uid="{00000000-0005-0000-0000-000070000000}"/>
    <cellStyle name="C03L" xfId="114" xr:uid="{00000000-0005-0000-0000-000071000000}"/>
    <cellStyle name="C04A" xfId="115" xr:uid="{00000000-0005-0000-0000-000072000000}"/>
    <cellStyle name="C04A 2" xfId="116" xr:uid="{00000000-0005-0000-0000-000073000000}"/>
    <cellStyle name="C04B" xfId="117" xr:uid="{00000000-0005-0000-0000-000074000000}"/>
    <cellStyle name="C04H" xfId="118" xr:uid="{00000000-0005-0000-0000-000075000000}"/>
    <cellStyle name="C04L" xfId="119" xr:uid="{00000000-0005-0000-0000-000076000000}"/>
    <cellStyle name="C05A" xfId="120" xr:uid="{00000000-0005-0000-0000-000077000000}"/>
    <cellStyle name="C05A 2" xfId="121" xr:uid="{00000000-0005-0000-0000-000078000000}"/>
    <cellStyle name="C05B" xfId="122" xr:uid="{00000000-0005-0000-0000-000079000000}"/>
    <cellStyle name="C05H" xfId="123" xr:uid="{00000000-0005-0000-0000-00007A000000}"/>
    <cellStyle name="C05L" xfId="124" xr:uid="{00000000-0005-0000-0000-00007B000000}"/>
    <cellStyle name="C05L 2" xfId="125" xr:uid="{00000000-0005-0000-0000-00007C000000}"/>
    <cellStyle name="C06A" xfId="126" xr:uid="{00000000-0005-0000-0000-00007D000000}"/>
    <cellStyle name="C06B" xfId="127" xr:uid="{00000000-0005-0000-0000-00007E000000}"/>
    <cellStyle name="C06H" xfId="128" xr:uid="{00000000-0005-0000-0000-00007F000000}"/>
    <cellStyle name="C06L" xfId="129" xr:uid="{00000000-0005-0000-0000-000080000000}"/>
    <cellStyle name="C07A" xfId="130" xr:uid="{00000000-0005-0000-0000-000081000000}"/>
    <cellStyle name="C07B" xfId="131" xr:uid="{00000000-0005-0000-0000-000082000000}"/>
    <cellStyle name="C07H" xfId="132" xr:uid="{00000000-0005-0000-0000-000083000000}"/>
    <cellStyle name="C07L" xfId="133" xr:uid="{00000000-0005-0000-0000-000084000000}"/>
    <cellStyle name="Calculation" xfId="134" builtinId="22" customBuiltin="1"/>
    <cellStyle name="Calculation 2" xfId="135" xr:uid="{00000000-0005-0000-0000-000086000000}"/>
    <cellStyle name="Calculation 3" xfId="136" xr:uid="{00000000-0005-0000-0000-000087000000}"/>
    <cellStyle name="Check Cell" xfId="137" builtinId="23" customBuiltin="1"/>
    <cellStyle name="Check Cell 2" xfId="138" xr:uid="{00000000-0005-0000-0000-000089000000}"/>
    <cellStyle name="Comma" xfId="139" builtinId="3"/>
    <cellStyle name="Comma 0" xfId="140" xr:uid="{00000000-0005-0000-0000-00008B000000}"/>
    <cellStyle name="Comma 2" xfId="141" xr:uid="{00000000-0005-0000-0000-00008C000000}"/>
    <cellStyle name="Comma 3" xfId="142" xr:uid="{00000000-0005-0000-0000-00008D000000}"/>
    <cellStyle name="Comma 3 2" xfId="143" xr:uid="{00000000-0005-0000-0000-00008E000000}"/>
    <cellStyle name="Comma 3 3" xfId="144" xr:uid="{00000000-0005-0000-0000-00008F000000}"/>
    <cellStyle name="Comma 4" xfId="145" xr:uid="{00000000-0005-0000-0000-000090000000}"/>
    <cellStyle name="Comma 4 2" xfId="146" xr:uid="{00000000-0005-0000-0000-000091000000}"/>
    <cellStyle name="Comma 5" xfId="147" xr:uid="{00000000-0005-0000-0000-000092000000}"/>
    <cellStyle name="Comma 5 2" xfId="148" xr:uid="{00000000-0005-0000-0000-000093000000}"/>
    <cellStyle name="Comma 6" xfId="149" xr:uid="{00000000-0005-0000-0000-000094000000}"/>
    <cellStyle name="Comma 6 2" xfId="150" xr:uid="{00000000-0005-0000-0000-000095000000}"/>
    <cellStyle name="Comma 6 3" xfId="151" xr:uid="{00000000-0005-0000-0000-000096000000}"/>
    <cellStyle name="Comma 7" xfId="152" xr:uid="{00000000-0005-0000-0000-000097000000}"/>
    <cellStyle name="Comma0 - Style1" xfId="153" xr:uid="{00000000-0005-0000-0000-000098000000}"/>
    <cellStyle name="Currency" xfId="154" builtinId="4"/>
    <cellStyle name="Currency 2" xfId="155" xr:uid="{00000000-0005-0000-0000-00009A000000}"/>
    <cellStyle name="Currency 3" xfId="156" xr:uid="{00000000-0005-0000-0000-00009B000000}"/>
    <cellStyle name="Currency 3 2" xfId="157" xr:uid="{00000000-0005-0000-0000-00009C000000}"/>
    <cellStyle name="Currency 4" xfId="158" xr:uid="{00000000-0005-0000-0000-00009D000000}"/>
    <cellStyle name="Currency 4 2" xfId="159" xr:uid="{00000000-0005-0000-0000-00009E000000}"/>
    <cellStyle name="Currency 4 3" xfId="160" xr:uid="{00000000-0005-0000-0000-00009F000000}"/>
    <cellStyle name="Currency 5" xfId="161" xr:uid="{00000000-0005-0000-0000-0000A0000000}"/>
    <cellStyle name="Date" xfId="162" xr:uid="{00000000-0005-0000-0000-0000A1000000}"/>
    <cellStyle name="Euro" xfId="163" xr:uid="{00000000-0005-0000-0000-0000A2000000}"/>
    <cellStyle name="Euro 2" xfId="164" xr:uid="{00000000-0005-0000-0000-0000A3000000}"/>
    <cellStyle name="Explanatory Text" xfId="165" builtinId="53" customBuiltin="1"/>
    <cellStyle name="Explanatory Text 2" xfId="166" xr:uid="{00000000-0005-0000-0000-0000A5000000}"/>
    <cellStyle name="Fixed" xfId="167" xr:uid="{00000000-0005-0000-0000-0000A6000000}"/>
    <cellStyle name="Fixed1 - Style1" xfId="168" xr:uid="{00000000-0005-0000-0000-0000A7000000}"/>
    <cellStyle name="Gilsans" xfId="169" xr:uid="{00000000-0005-0000-0000-0000A8000000}"/>
    <cellStyle name="Gilsansl" xfId="170" xr:uid="{00000000-0005-0000-0000-0000A9000000}"/>
    <cellStyle name="Good" xfId="171" builtinId="26" customBuiltin="1"/>
    <cellStyle name="Good 2" xfId="172" xr:uid="{00000000-0005-0000-0000-0000AB000000}"/>
    <cellStyle name="Good 3" xfId="173" xr:uid="{00000000-0005-0000-0000-0000AC000000}"/>
    <cellStyle name="Grey" xfId="174" xr:uid="{00000000-0005-0000-0000-0000AD000000}"/>
    <cellStyle name="Grey 2" xfId="175" xr:uid="{00000000-0005-0000-0000-0000AE000000}"/>
    <cellStyle name="HEADER" xfId="176" xr:uid="{00000000-0005-0000-0000-0000AF000000}"/>
    <cellStyle name="Header1" xfId="177" xr:uid="{00000000-0005-0000-0000-0000B0000000}"/>
    <cellStyle name="Header2" xfId="178" xr:uid="{00000000-0005-0000-0000-0000B1000000}"/>
    <cellStyle name="Heading" xfId="179" xr:uid="{00000000-0005-0000-0000-0000B2000000}"/>
    <cellStyle name="Heading 1" xfId="180" builtinId="16" customBuiltin="1"/>
    <cellStyle name="Heading 1 2" xfId="181" xr:uid="{00000000-0005-0000-0000-0000B4000000}"/>
    <cellStyle name="Heading 1 3" xfId="182" xr:uid="{00000000-0005-0000-0000-0000B5000000}"/>
    <cellStyle name="Heading 2" xfId="183" builtinId="17" customBuiltin="1"/>
    <cellStyle name="Heading 2 2" xfId="184" xr:uid="{00000000-0005-0000-0000-0000B7000000}"/>
    <cellStyle name="Heading 2 3" xfId="185" xr:uid="{00000000-0005-0000-0000-0000B8000000}"/>
    <cellStyle name="Heading 3" xfId="186" builtinId="18" customBuiltin="1"/>
    <cellStyle name="Heading 3 2" xfId="187" xr:uid="{00000000-0005-0000-0000-0000BA000000}"/>
    <cellStyle name="Heading 3 3" xfId="188" xr:uid="{00000000-0005-0000-0000-0000BB000000}"/>
    <cellStyle name="Heading 4" xfId="189" builtinId="19" customBuiltin="1"/>
    <cellStyle name="Heading 4 2" xfId="190" xr:uid="{00000000-0005-0000-0000-0000BD000000}"/>
    <cellStyle name="Heading 4 3" xfId="191" xr:uid="{00000000-0005-0000-0000-0000BE000000}"/>
    <cellStyle name="Heading1" xfId="192" xr:uid="{00000000-0005-0000-0000-0000BF000000}"/>
    <cellStyle name="Heading2" xfId="193" xr:uid="{00000000-0005-0000-0000-0000C0000000}"/>
    <cellStyle name="HIGHLIGHT" xfId="194" xr:uid="{00000000-0005-0000-0000-0000C1000000}"/>
    <cellStyle name="Hyperlink 2" xfId="195" xr:uid="{00000000-0005-0000-0000-0000C2000000}"/>
    <cellStyle name="Input" xfId="196" builtinId="20" customBuiltin="1"/>
    <cellStyle name="Input [yellow]" xfId="197" xr:uid="{00000000-0005-0000-0000-0000C4000000}"/>
    <cellStyle name="Input [yellow] 2" xfId="198" xr:uid="{00000000-0005-0000-0000-0000C5000000}"/>
    <cellStyle name="Input 10" xfId="199" xr:uid="{00000000-0005-0000-0000-0000C6000000}"/>
    <cellStyle name="Input 11" xfId="200" xr:uid="{00000000-0005-0000-0000-0000C7000000}"/>
    <cellStyle name="Input 12" xfId="201" xr:uid="{00000000-0005-0000-0000-0000C8000000}"/>
    <cellStyle name="Input 13" xfId="202" xr:uid="{00000000-0005-0000-0000-0000C9000000}"/>
    <cellStyle name="Input 14" xfId="203" xr:uid="{00000000-0005-0000-0000-0000CA000000}"/>
    <cellStyle name="Input 2" xfId="204" xr:uid="{00000000-0005-0000-0000-0000CB000000}"/>
    <cellStyle name="Input 3" xfId="205" xr:uid="{00000000-0005-0000-0000-0000CC000000}"/>
    <cellStyle name="Input 4" xfId="206" xr:uid="{00000000-0005-0000-0000-0000CD000000}"/>
    <cellStyle name="Input 5" xfId="207" xr:uid="{00000000-0005-0000-0000-0000CE000000}"/>
    <cellStyle name="Input 6" xfId="208" xr:uid="{00000000-0005-0000-0000-0000CF000000}"/>
    <cellStyle name="Input 7" xfId="209" xr:uid="{00000000-0005-0000-0000-0000D0000000}"/>
    <cellStyle name="Input 8" xfId="210" xr:uid="{00000000-0005-0000-0000-0000D1000000}"/>
    <cellStyle name="Input 9" xfId="211" xr:uid="{00000000-0005-0000-0000-0000D2000000}"/>
    <cellStyle name="Lines" xfId="212" xr:uid="{00000000-0005-0000-0000-0000D3000000}"/>
    <cellStyle name="Lines 2" xfId="213" xr:uid="{00000000-0005-0000-0000-0000D4000000}"/>
    <cellStyle name="Linked Cell" xfId="214" builtinId="24" customBuiltin="1"/>
    <cellStyle name="Linked Cell 2" xfId="215" xr:uid="{00000000-0005-0000-0000-0000D6000000}"/>
    <cellStyle name="Linked Cell 3" xfId="216" xr:uid="{00000000-0005-0000-0000-0000D7000000}"/>
    <cellStyle name="MEM SSN" xfId="217" xr:uid="{00000000-0005-0000-0000-0000D8000000}"/>
    <cellStyle name="MEM SSN 2" xfId="218" xr:uid="{00000000-0005-0000-0000-0000D9000000}"/>
    <cellStyle name="Mine" xfId="219" xr:uid="{00000000-0005-0000-0000-0000DA000000}"/>
    <cellStyle name="mmm-yy" xfId="220" xr:uid="{00000000-0005-0000-0000-0000DB000000}"/>
    <cellStyle name="Monétaire [0]_pldt" xfId="221" xr:uid="{00000000-0005-0000-0000-0000DC000000}"/>
    <cellStyle name="Monétaire_pldt" xfId="222" xr:uid="{00000000-0005-0000-0000-0000DD000000}"/>
    <cellStyle name="Neutral" xfId="223" builtinId="28" customBuiltin="1"/>
    <cellStyle name="Neutral 2" xfId="224" xr:uid="{00000000-0005-0000-0000-0000DF000000}"/>
    <cellStyle name="Neutral 3" xfId="225" xr:uid="{00000000-0005-0000-0000-0000E0000000}"/>
    <cellStyle name="New" xfId="226" xr:uid="{00000000-0005-0000-0000-0000E1000000}"/>
    <cellStyle name="No Border" xfId="227" xr:uid="{00000000-0005-0000-0000-0000E2000000}"/>
    <cellStyle name="no dec" xfId="228" xr:uid="{00000000-0005-0000-0000-0000E3000000}"/>
    <cellStyle name="Normal" xfId="0" builtinId="0"/>
    <cellStyle name="Normal - Style1" xfId="229" xr:uid="{00000000-0005-0000-0000-0000E5000000}"/>
    <cellStyle name="Normal 10" xfId="230" xr:uid="{00000000-0005-0000-0000-0000E6000000}"/>
    <cellStyle name="Normal 11" xfId="231" xr:uid="{00000000-0005-0000-0000-0000E7000000}"/>
    <cellStyle name="Normal 12" xfId="232" xr:uid="{00000000-0005-0000-0000-0000E8000000}"/>
    <cellStyle name="Normal 13" xfId="233" xr:uid="{00000000-0005-0000-0000-0000E9000000}"/>
    <cellStyle name="Normal 14" xfId="234" xr:uid="{00000000-0005-0000-0000-0000EA000000}"/>
    <cellStyle name="Normal 15" xfId="235" xr:uid="{00000000-0005-0000-0000-0000EB000000}"/>
    <cellStyle name="Normal 16" xfId="236" xr:uid="{00000000-0005-0000-0000-0000EC000000}"/>
    <cellStyle name="Normal 17" xfId="237" xr:uid="{00000000-0005-0000-0000-0000ED000000}"/>
    <cellStyle name="Normal 18" xfId="238" xr:uid="{00000000-0005-0000-0000-0000EE000000}"/>
    <cellStyle name="Normal 18 2" xfId="239" xr:uid="{00000000-0005-0000-0000-0000EF000000}"/>
    <cellStyle name="Normal 19" xfId="240" xr:uid="{00000000-0005-0000-0000-0000F0000000}"/>
    <cellStyle name="Normal 2" xfId="241" xr:uid="{00000000-0005-0000-0000-0000F1000000}"/>
    <cellStyle name="Normal 2 2" xfId="242" xr:uid="{00000000-0005-0000-0000-0000F2000000}"/>
    <cellStyle name="Normal 2 2 2" xfId="243" xr:uid="{00000000-0005-0000-0000-0000F3000000}"/>
    <cellStyle name="Normal 20" xfId="244" xr:uid="{00000000-0005-0000-0000-0000F4000000}"/>
    <cellStyle name="Normal 3" xfId="245" xr:uid="{00000000-0005-0000-0000-0000F5000000}"/>
    <cellStyle name="Normal 3 2" xfId="246" xr:uid="{00000000-0005-0000-0000-0000F6000000}"/>
    <cellStyle name="Normal 3 2 2" xfId="247" xr:uid="{00000000-0005-0000-0000-0000F7000000}"/>
    <cellStyle name="Normal 3 2 3" xfId="248" xr:uid="{00000000-0005-0000-0000-0000F8000000}"/>
    <cellStyle name="Normal 3 3" xfId="249" xr:uid="{00000000-0005-0000-0000-0000F9000000}"/>
    <cellStyle name="Normal 4" xfId="250" xr:uid="{00000000-0005-0000-0000-0000FA000000}"/>
    <cellStyle name="Normal 4 2" xfId="251" xr:uid="{00000000-0005-0000-0000-0000FB000000}"/>
    <cellStyle name="Normal 5" xfId="252" xr:uid="{00000000-0005-0000-0000-0000FC000000}"/>
    <cellStyle name="Normal 5 2" xfId="253" xr:uid="{00000000-0005-0000-0000-0000FD000000}"/>
    <cellStyle name="Normal 6" xfId="254" xr:uid="{00000000-0005-0000-0000-0000FE000000}"/>
    <cellStyle name="Normal 7" xfId="255" xr:uid="{00000000-0005-0000-0000-0000FF000000}"/>
    <cellStyle name="Normal 8" xfId="256" xr:uid="{00000000-0005-0000-0000-000000010000}"/>
    <cellStyle name="Normal 9" xfId="257" xr:uid="{00000000-0005-0000-0000-000001010000}"/>
    <cellStyle name="Normal CEN" xfId="258" xr:uid="{00000000-0005-0000-0000-000002010000}"/>
    <cellStyle name="Normal CEN 2" xfId="259" xr:uid="{00000000-0005-0000-0000-000003010000}"/>
    <cellStyle name="Normal Centered" xfId="260" xr:uid="{00000000-0005-0000-0000-000004010000}"/>
    <cellStyle name="Normal Centered 2" xfId="261" xr:uid="{00000000-0005-0000-0000-000005010000}"/>
    <cellStyle name="NORMAL CTR" xfId="262" xr:uid="{00000000-0005-0000-0000-000006010000}"/>
    <cellStyle name="Normal_2002 AREA LOADS FOR JNT TARIFF" xfId="263" xr:uid="{00000000-0005-0000-0000-000007010000}"/>
    <cellStyle name="Normal_2002 AREA LOADS FOR JNT TARIFF 2" xfId="264" xr:uid="{00000000-0005-0000-0000-000008010000}"/>
    <cellStyle name="Normal_2002 AREA LOADS FOR JNT TARIFF_CUS AC LOADS" xfId="265" xr:uid="{00000000-0005-0000-0000-000009010000}"/>
    <cellStyle name="Normal_CU AC Rate Design" xfId="266" xr:uid="{00000000-0005-0000-0000-00000A010000}"/>
    <cellStyle name="Normal_CU AC Rate Design_CUS AC LOADS" xfId="267" xr:uid="{00000000-0005-0000-0000-00000B010000}"/>
    <cellStyle name="Normal_CUS AC LOADS" xfId="268" xr:uid="{00000000-0005-0000-0000-00000C010000}"/>
    <cellStyle name="Normal_Sheet2" xfId="269" xr:uid="{00000000-0005-0000-0000-00000D010000}"/>
    <cellStyle name="Normal_TopSheet Type Ancillaries Worksheet-Updated 81903" xfId="270" xr:uid="{00000000-0005-0000-0000-00000E010000}"/>
    <cellStyle name="Normal_TopSheet Type Ancillaries Worksheet-Updated 81903 2" xfId="271" xr:uid="{00000000-0005-0000-0000-00000F010000}"/>
    <cellStyle name="Note" xfId="272" builtinId="10" customBuiltin="1"/>
    <cellStyle name="Note 2" xfId="273" xr:uid="{00000000-0005-0000-0000-000011010000}"/>
    <cellStyle name="Note 2 2" xfId="274" xr:uid="{00000000-0005-0000-0000-000012010000}"/>
    <cellStyle name="Note 3" xfId="275" xr:uid="{00000000-0005-0000-0000-000013010000}"/>
    <cellStyle name="nUMBER" xfId="276" xr:uid="{00000000-0005-0000-0000-000014010000}"/>
    <cellStyle name="Output" xfId="277" builtinId="21" customBuiltin="1"/>
    <cellStyle name="Output 2" xfId="278" xr:uid="{00000000-0005-0000-0000-000016010000}"/>
    <cellStyle name="Output 3" xfId="279" xr:uid="{00000000-0005-0000-0000-000017010000}"/>
    <cellStyle name="Percent" xfId="280" builtinId="5"/>
    <cellStyle name="Percent [2]" xfId="281" xr:uid="{00000000-0005-0000-0000-000019010000}"/>
    <cellStyle name="Percent 10" xfId="282" xr:uid="{00000000-0005-0000-0000-00001A010000}"/>
    <cellStyle name="Percent 11" xfId="283" xr:uid="{00000000-0005-0000-0000-00001B010000}"/>
    <cellStyle name="Percent 12" xfId="284" xr:uid="{00000000-0005-0000-0000-00001C010000}"/>
    <cellStyle name="Percent 13" xfId="285" xr:uid="{00000000-0005-0000-0000-00001D010000}"/>
    <cellStyle name="Percent 14" xfId="286" xr:uid="{00000000-0005-0000-0000-00001E010000}"/>
    <cellStyle name="Percent 14 2" xfId="287" xr:uid="{00000000-0005-0000-0000-00001F010000}"/>
    <cellStyle name="Percent 15" xfId="288" xr:uid="{00000000-0005-0000-0000-000020010000}"/>
    <cellStyle name="Percent 16" xfId="289" xr:uid="{00000000-0005-0000-0000-000021010000}"/>
    <cellStyle name="Percent 17" xfId="290" xr:uid="{00000000-0005-0000-0000-000022010000}"/>
    <cellStyle name="Percent 17 2" xfId="291" xr:uid="{00000000-0005-0000-0000-000023010000}"/>
    <cellStyle name="Percent 18" xfId="292" xr:uid="{00000000-0005-0000-0000-000024010000}"/>
    <cellStyle name="Percent 19" xfId="293" xr:uid="{00000000-0005-0000-0000-000025010000}"/>
    <cellStyle name="Percent 2" xfId="294" xr:uid="{00000000-0005-0000-0000-000026010000}"/>
    <cellStyle name="Percent 2 2" xfId="295" xr:uid="{00000000-0005-0000-0000-000027010000}"/>
    <cellStyle name="Percent 20" xfId="296" xr:uid="{00000000-0005-0000-0000-000028010000}"/>
    <cellStyle name="Percent 21" xfId="297" xr:uid="{00000000-0005-0000-0000-000029010000}"/>
    <cellStyle name="Percent 22" xfId="298" xr:uid="{00000000-0005-0000-0000-00002A010000}"/>
    <cellStyle name="Percent 23" xfId="299" xr:uid="{00000000-0005-0000-0000-00002B010000}"/>
    <cellStyle name="Percent 24" xfId="300" xr:uid="{00000000-0005-0000-0000-00002C010000}"/>
    <cellStyle name="Percent 25" xfId="301" xr:uid="{00000000-0005-0000-0000-00002D010000}"/>
    <cellStyle name="Percent 26" xfId="302" xr:uid="{00000000-0005-0000-0000-00002E010000}"/>
    <cellStyle name="Percent 27" xfId="303" xr:uid="{00000000-0005-0000-0000-00002F010000}"/>
    <cellStyle name="Percent 28" xfId="304" xr:uid="{00000000-0005-0000-0000-000030010000}"/>
    <cellStyle name="Percent 3" xfId="305" xr:uid="{00000000-0005-0000-0000-000031010000}"/>
    <cellStyle name="Percent 3 2" xfId="306" xr:uid="{00000000-0005-0000-0000-000032010000}"/>
    <cellStyle name="Percent 4" xfId="307" xr:uid="{00000000-0005-0000-0000-000033010000}"/>
    <cellStyle name="Percent 5" xfId="308" xr:uid="{00000000-0005-0000-0000-000034010000}"/>
    <cellStyle name="Percent 6" xfId="309" xr:uid="{00000000-0005-0000-0000-000035010000}"/>
    <cellStyle name="Percent 7" xfId="310" xr:uid="{00000000-0005-0000-0000-000036010000}"/>
    <cellStyle name="Percent 8" xfId="311" xr:uid="{00000000-0005-0000-0000-000037010000}"/>
    <cellStyle name="Percent 9" xfId="312" xr:uid="{00000000-0005-0000-0000-000038010000}"/>
    <cellStyle name="PSChar" xfId="313" xr:uid="{00000000-0005-0000-0000-000039010000}"/>
    <cellStyle name="PSDate" xfId="314" xr:uid="{00000000-0005-0000-0000-00003A010000}"/>
    <cellStyle name="PSDec" xfId="315" xr:uid="{00000000-0005-0000-0000-00003B010000}"/>
    <cellStyle name="PSHeading" xfId="316" xr:uid="{00000000-0005-0000-0000-00003C010000}"/>
    <cellStyle name="PSInt" xfId="317" xr:uid="{00000000-0005-0000-0000-00003D010000}"/>
    <cellStyle name="PSSpacer" xfId="318" xr:uid="{00000000-0005-0000-0000-00003E010000}"/>
    <cellStyle name="R00A" xfId="319" xr:uid="{00000000-0005-0000-0000-00003F010000}"/>
    <cellStyle name="R00A 2" xfId="320" xr:uid="{00000000-0005-0000-0000-000040010000}"/>
    <cellStyle name="R00B" xfId="321" xr:uid="{00000000-0005-0000-0000-000041010000}"/>
    <cellStyle name="R00L" xfId="322" xr:uid="{00000000-0005-0000-0000-000042010000}"/>
    <cellStyle name="R00L 2" xfId="323" xr:uid="{00000000-0005-0000-0000-000043010000}"/>
    <cellStyle name="R01A" xfId="324" xr:uid="{00000000-0005-0000-0000-000044010000}"/>
    <cellStyle name="R01A 2" xfId="325" xr:uid="{00000000-0005-0000-0000-000045010000}"/>
    <cellStyle name="R01B" xfId="326" xr:uid="{00000000-0005-0000-0000-000046010000}"/>
    <cellStyle name="R01H" xfId="327" xr:uid="{00000000-0005-0000-0000-000047010000}"/>
    <cellStyle name="R01L" xfId="328" xr:uid="{00000000-0005-0000-0000-000048010000}"/>
    <cellStyle name="R01L 2" xfId="329" xr:uid="{00000000-0005-0000-0000-000049010000}"/>
    <cellStyle name="R02A" xfId="330" xr:uid="{00000000-0005-0000-0000-00004A010000}"/>
    <cellStyle name="R02A 2" xfId="331" xr:uid="{00000000-0005-0000-0000-00004B010000}"/>
    <cellStyle name="R02B" xfId="332" xr:uid="{00000000-0005-0000-0000-00004C010000}"/>
    <cellStyle name="R02H" xfId="333" xr:uid="{00000000-0005-0000-0000-00004D010000}"/>
    <cellStyle name="R02L" xfId="334" xr:uid="{00000000-0005-0000-0000-00004E010000}"/>
    <cellStyle name="R03A" xfId="335" xr:uid="{00000000-0005-0000-0000-00004F010000}"/>
    <cellStyle name="R03A 2" xfId="336" xr:uid="{00000000-0005-0000-0000-000050010000}"/>
    <cellStyle name="R03B" xfId="337" xr:uid="{00000000-0005-0000-0000-000051010000}"/>
    <cellStyle name="R03H" xfId="338" xr:uid="{00000000-0005-0000-0000-000052010000}"/>
    <cellStyle name="R03L" xfId="339" xr:uid="{00000000-0005-0000-0000-000053010000}"/>
    <cellStyle name="R03L 2" xfId="340" xr:uid="{00000000-0005-0000-0000-000054010000}"/>
    <cellStyle name="R04A" xfId="341" xr:uid="{00000000-0005-0000-0000-000055010000}"/>
    <cellStyle name="R04A 2" xfId="342" xr:uid="{00000000-0005-0000-0000-000056010000}"/>
    <cellStyle name="R04B" xfId="343" xr:uid="{00000000-0005-0000-0000-000057010000}"/>
    <cellStyle name="R04H" xfId="344" xr:uid="{00000000-0005-0000-0000-000058010000}"/>
    <cellStyle name="R04L" xfId="345" xr:uid="{00000000-0005-0000-0000-000059010000}"/>
    <cellStyle name="R04L 2" xfId="346" xr:uid="{00000000-0005-0000-0000-00005A010000}"/>
    <cellStyle name="R05A" xfId="347" xr:uid="{00000000-0005-0000-0000-00005B010000}"/>
    <cellStyle name="R05A 2" xfId="348" xr:uid="{00000000-0005-0000-0000-00005C010000}"/>
    <cellStyle name="R05B" xfId="349" xr:uid="{00000000-0005-0000-0000-00005D010000}"/>
    <cellStyle name="R05H" xfId="350" xr:uid="{00000000-0005-0000-0000-00005E010000}"/>
    <cellStyle name="R05L" xfId="351" xr:uid="{00000000-0005-0000-0000-00005F010000}"/>
    <cellStyle name="R05L 2" xfId="352" xr:uid="{00000000-0005-0000-0000-000060010000}"/>
    <cellStyle name="R06A" xfId="353" xr:uid="{00000000-0005-0000-0000-000061010000}"/>
    <cellStyle name="R06B" xfId="354" xr:uid="{00000000-0005-0000-0000-000062010000}"/>
    <cellStyle name="R06H" xfId="355" xr:uid="{00000000-0005-0000-0000-000063010000}"/>
    <cellStyle name="R06L" xfId="356" xr:uid="{00000000-0005-0000-0000-000064010000}"/>
    <cellStyle name="R07A" xfId="357" xr:uid="{00000000-0005-0000-0000-000065010000}"/>
    <cellStyle name="R07B" xfId="358" xr:uid="{00000000-0005-0000-0000-000066010000}"/>
    <cellStyle name="R07H" xfId="359" xr:uid="{00000000-0005-0000-0000-000067010000}"/>
    <cellStyle name="R07L" xfId="360" xr:uid="{00000000-0005-0000-0000-000068010000}"/>
    <cellStyle name="Resource Detail" xfId="361" xr:uid="{00000000-0005-0000-0000-000069010000}"/>
    <cellStyle name="Shade" xfId="362" xr:uid="{00000000-0005-0000-0000-00006A010000}"/>
    <cellStyle name="single acct" xfId="363" xr:uid="{00000000-0005-0000-0000-00006B010000}"/>
    <cellStyle name="Single Border" xfId="364" xr:uid="{00000000-0005-0000-0000-00006C010000}"/>
    <cellStyle name="Small Page Heading" xfId="365" xr:uid="{00000000-0005-0000-0000-00006D010000}"/>
    <cellStyle name="ssn" xfId="366" xr:uid="{00000000-0005-0000-0000-00006E010000}"/>
    <cellStyle name="ssn 2" xfId="367" xr:uid="{00000000-0005-0000-0000-00006F010000}"/>
    <cellStyle name="Style 1" xfId="368" xr:uid="{00000000-0005-0000-0000-000070010000}"/>
    <cellStyle name="Style 2" xfId="369" xr:uid="{00000000-0005-0000-0000-000071010000}"/>
    <cellStyle name="Style 27" xfId="370" xr:uid="{00000000-0005-0000-0000-000072010000}"/>
    <cellStyle name="Style 28" xfId="371" xr:uid="{00000000-0005-0000-0000-000073010000}"/>
    <cellStyle name="Table Sub Heading" xfId="372" xr:uid="{00000000-0005-0000-0000-000074010000}"/>
    <cellStyle name="Table Title" xfId="373" xr:uid="{00000000-0005-0000-0000-000075010000}"/>
    <cellStyle name="Table Units" xfId="374" xr:uid="{00000000-0005-0000-0000-000076010000}"/>
    <cellStyle name="Theirs" xfId="375" xr:uid="{00000000-0005-0000-0000-000077010000}"/>
    <cellStyle name="Times New Roman" xfId="376" xr:uid="{00000000-0005-0000-0000-000078010000}"/>
    <cellStyle name="Title" xfId="377" builtinId="15" customBuiltin="1"/>
    <cellStyle name="Title 2" xfId="378" xr:uid="{00000000-0005-0000-0000-00007A010000}"/>
    <cellStyle name="Title 3" xfId="379" xr:uid="{00000000-0005-0000-0000-00007B010000}"/>
    <cellStyle name="Total" xfId="380" builtinId="25" customBuiltin="1"/>
    <cellStyle name="Total 2" xfId="381" xr:uid="{00000000-0005-0000-0000-00007D010000}"/>
    <cellStyle name="Total 3" xfId="382" xr:uid="{00000000-0005-0000-0000-00007E010000}"/>
    <cellStyle name="Unprot" xfId="383" xr:uid="{00000000-0005-0000-0000-00007F010000}"/>
    <cellStyle name="Unprot$" xfId="384" xr:uid="{00000000-0005-0000-0000-000080010000}"/>
    <cellStyle name="Unprotect" xfId="385" xr:uid="{00000000-0005-0000-0000-000081010000}"/>
    <cellStyle name="Warning Text" xfId="386" builtinId="11" customBuiltin="1"/>
    <cellStyle name="Warning Text 2" xfId="387" xr:uid="{00000000-0005-0000-0000-000083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0"/>
  <sheetViews>
    <sheetView tabSelected="1" workbookViewId="0">
      <selection activeCell="M21" sqref="M21"/>
    </sheetView>
  </sheetViews>
  <sheetFormatPr defaultRowHeight="12.75"/>
  <cols>
    <col min="1" max="1" width="4.140625" customWidth="1"/>
    <col min="2" max="2" width="9.140625" customWidth="1"/>
    <col min="3" max="3" width="6.140625" customWidth="1"/>
    <col min="4" max="9" width="10.140625" bestFit="1" customWidth="1"/>
    <col min="10" max="10" width="14" bestFit="1" customWidth="1"/>
    <col min="11" max="11" width="12" bestFit="1" customWidth="1"/>
    <col min="12" max="12" width="11.85546875" bestFit="1" customWidth="1"/>
    <col min="13" max="13" width="12.85546875" customWidth="1"/>
    <col min="14" max="15" width="10.140625" bestFit="1" customWidth="1"/>
    <col min="16" max="16" width="7.5703125" bestFit="1" customWidth="1"/>
    <col min="17" max="17" width="10.140625" bestFit="1" customWidth="1"/>
    <col min="18" max="18" width="7.5703125" bestFit="1" customWidth="1"/>
    <col min="19" max="19" width="10.140625" bestFit="1" customWidth="1"/>
    <col min="20" max="20" width="10" bestFit="1" customWidth="1"/>
    <col min="21" max="21" width="10.140625" bestFit="1" customWidth="1"/>
    <col min="22" max="22" width="7.5703125" bestFit="1" customWidth="1"/>
    <col min="23" max="23" width="10.140625" bestFit="1" customWidth="1"/>
    <col min="25" max="25" width="10.140625" bestFit="1" customWidth="1"/>
    <col min="26" max="26" width="9.42578125" bestFit="1" customWidth="1"/>
    <col min="27" max="27" width="10.140625" bestFit="1" customWidth="1"/>
    <col min="28" max="28" width="11.42578125" bestFit="1" customWidth="1"/>
    <col min="29" max="29" width="11.85546875" bestFit="1" customWidth="1"/>
  </cols>
  <sheetData>
    <row r="1" spans="1:29">
      <c r="A1" s="11" t="s">
        <v>0</v>
      </c>
    </row>
    <row r="2" spans="1:29">
      <c r="A2" s="11" t="s">
        <v>1</v>
      </c>
      <c r="J2" s="20" t="s">
        <v>116</v>
      </c>
    </row>
    <row r="3" spans="1:29">
      <c r="A3" s="11" t="s">
        <v>2</v>
      </c>
      <c r="J3" s="21" t="s">
        <v>119</v>
      </c>
    </row>
    <row r="5" spans="1:29">
      <c r="B5" s="2" t="s">
        <v>70</v>
      </c>
    </row>
    <row r="6" spans="1:29">
      <c r="J6" s="139"/>
    </row>
    <row r="7" spans="1:29">
      <c r="A7">
        <v>1</v>
      </c>
      <c r="B7" s="2" t="s">
        <v>71</v>
      </c>
      <c r="J7" s="139"/>
    </row>
    <row r="8" spans="1:29">
      <c r="A8">
        <v>2</v>
      </c>
      <c r="B8" s="126" t="s">
        <v>130</v>
      </c>
      <c r="J8" s="140">
        <f>'Sch. 2 - Total'!H10</f>
        <v>1660052</v>
      </c>
    </row>
    <row r="9" spans="1:29" ht="15">
      <c r="A9">
        <v>3</v>
      </c>
      <c r="B9" s="126" t="s">
        <v>129</v>
      </c>
      <c r="J9" s="141">
        <v>1974158.1</v>
      </c>
      <c r="M9" s="22"/>
    </row>
    <row r="10" spans="1:29" ht="15">
      <c r="A10">
        <v>4</v>
      </c>
      <c r="B10" s="2" t="s">
        <v>72</v>
      </c>
      <c r="J10" s="142">
        <f>J8-J9</f>
        <v>-314106.10000000009</v>
      </c>
      <c r="M10" s="22"/>
    </row>
    <row r="11" spans="1:29" ht="15">
      <c r="A11">
        <v>5</v>
      </c>
      <c r="B11" s="2" t="s">
        <v>73</v>
      </c>
      <c r="J11" s="143">
        <f>ROUND((1+$I$70)^18,2)</f>
        <v>1.1299999999999999</v>
      </c>
      <c r="M11" s="22"/>
    </row>
    <row r="12" spans="1:29" ht="15">
      <c r="A12">
        <v>6</v>
      </c>
      <c r="B12" s="98" t="s">
        <v>128</v>
      </c>
      <c r="D12" s="14"/>
      <c r="E12" s="14"/>
      <c r="F12" s="14"/>
      <c r="G12" s="14"/>
      <c r="H12" s="14"/>
      <c r="I12" s="14"/>
      <c r="J12" s="140">
        <f>J10*J11</f>
        <v>-354939.8930000001</v>
      </c>
      <c r="K12" s="14"/>
      <c r="L12" s="14"/>
      <c r="M12" s="22"/>
      <c r="N12" s="14"/>
      <c r="O12" s="14"/>
      <c r="P12" s="23"/>
      <c r="Q12" s="14"/>
      <c r="R12" s="23"/>
      <c r="S12" s="14"/>
      <c r="T12" s="23"/>
      <c r="U12" s="14"/>
      <c r="V12" s="23"/>
      <c r="W12" s="14"/>
      <c r="X12" s="23"/>
      <c r="Y12" s="14"/>
      <c r="Z12" s="23"/>
      <c r="AA12" s="14"/>
      <c r="AB12" s="23"/>
      <c r="AC12" s="14"/>
    </row>
    <row r="13" spans="1:29" ht="15">
      <c r="B13" s="2"/>
      <c r="D13" s="14"/>
      <c r="E13" s="14"/>
      <c r="F13" s="14"/>
      <c r="G13" s="14"/>
      <c r="H13" s="14"/>
      <c r="I13" s="14"/>
      <c r="J13" s="144"/>
      <c r="K13" s="14"/>
      <c r="L13" s="14"/>
      <c r="M13" s="22"/>
      <c r="N13" s="14"/>
      <c r="O13" s="14"/>
      <c r="P13" s="23"/>
      <c r="Q13" s="14"/>
      <c r="R13" s="23"/>
      <c r="S13" s="14"/>
      <c r="T13" s="23"/>
      <c r="U13" s="14"/>
      <c r="V13" s="23"/>
      <c r="W13" s="14"/>
      <c r="X13" s="23"/>
      <c r="Y13" s="14"/>
      <c r="Z13" s="23"/>
      <c r="AA13" s="14"/>
      <c r="AB13" s="23"/>
      <c r="AC13" s="14"/>
    </row>
    <row r="14" spans="1:29" ht="15">
      <c r="A14">
        <v>7</v>
      </c>
      <c r="B14" s="2" t="s">
        <v>74</v>
      </c>
      <c r="J14" s="139"/>
      <c r="K14" s="14"/>
      <c r="L14" s="14"/>
      <c r="M14" s="22"/>
      <c r="N14" s="14"/>
      <c r="O14" s="14"/>
      <c r="P14" s="23"/>
      <c r="Q14" s="14"/>
      <c r="R14" s="23"/>
      <c r="S14" s="14"/>
      <c r="T14" s="23"/>
      <c r="U14" s="14"/>
      <c r="V14" s="23"/>
      <c r="W14" s="14"/>
      <c r="X14" s="23"/>
      <c r="Y14" s="14"/>
      <c r="Z14" s="23"/>
      <c r="AA14" s="14"/>
      <c r="AB14" s="23"/>
      <c r="AC14" s="14"/>
    </row>
    <row r="15" spans="1:29">
      <c r="A15">
        <v>8</v>
      </c>
      <c r="B15" s="126" t="s">
        <v>130</v>
      </c>
      <c r="J15" s="140">
        <f>'Sch. 2 - Total'!H11</f>
        <v>296353</v>
      </c>
      <c r="K15" s="14"/>
      <c r="L15" s="14"/>
      <c r="M15" s="14"/>
      <c r="N15" s="14"/>
      <c r="O15" s="14"/>
      <c r="P15" s="23"/>
      <c r="Q15" s="14"/>
      <c r="R15" s="23"/>
      <c r="S15" s="14"/>
      <c r="T15" s="23"/>
      <c r="U15" s="14"/>
      <c r="V15" s="23"/>
      <c r="W15" s="14"/>
      <c r="X15" s="23"/>
      <c r="Y15" s="14"/>
      <c r="Z15" s="23"/>
      <c r="AA15" s="14"/>
      <c r="AB15" s="23"/>
      <c r="AC15" s="14"/>
    </row>
    <row r="16" spans="1:29">
      <c r="A16">
        <v>9</v>
      </c>
      <c r="B16" s="127" t="str">
        <f>B9</f>
        <v>2024 Collected Revenue</v>
      </c>
      <c r="J16" s="141">
        <v>350552.73</v>
      </c>
      <c r="K16" s="14"/>
      <c r="M16" s="14"/>
      <c r="N16" s="14"/>
      <c r="O16" s="14"/>
      <c r="P16" s="23"/>
      <c r="Q16" s="14"/>
      <c r="R16" s="23"/>
      <c r="S16" s="14"/>
      <c r="T16" s="23"/>
      <c r="U16" s="14"/>
      <c r="V16" s="23"/>
      <c r="W16" s="14"/>
      <c r="X16" s="23"/>
      <c r="Y16" s="14"/>
      <c r="Z16" s="23"/>
      <c r="AA16" s="14"/>
      <c r="AB16" s="23"/>
      <c r="AC16" s="14"/>
    </row>
    <row r="17" spans="1:29">
      <c r="A17">
        <v>10</v>
      </c>
      <c r="B17" s="2" t="s">
        <v>72</v>
      </c>
      <c r="J17" s="142">
        <f>J15-J16</f>
        <v>-54199.729999999981</v>
      </c>
      <c r="K17" s="14"/>
      <c r="L17" s="14"/>
      <c r="M17" s="14"/>
      <c r="N17" s="14"/>
      <c r="O17" s="14"/>
      <c r="P17" s="23"/>
      <c r="Q17" s="14"/>
      <c r="R17" s="23"/>
      <c r="S17" s="14"/>
      <c r="T17" s="23"/>
      <c r="U17" s="14"/>
      <c r="V17" s="23"/>
      <c r="W17" s="14"/>
      <c r="X17" s="23"/>
      <c r="Y17" s="14"/>
      <c r="Z17" s="23"/>
      <c r="AA17" s="14"/>
      <c r="AB17" s="23"/>
      <c r="AC17" s="14"/>
    </row>
    <row r="18" spans="1:29">
      <c r="A18">
        <v>11</v>
      </c>
      <c r="B18" s="2" t="s">
        <v>73</v>
      </c>
      <c r="J18" s="143">
        <f>ROUND((1+$I$70)^18,2)</f>
        <v>1.1299999999999999</v>
      </c>
      <c r="K18" s="14"/>
      <c r="L18" s="14"/>
      <c r="M18" s="14"/>
      <c r="N18" s="14"/>
      <c r="O18" s="14"/>
      <c r="P18" s="23"/>
      <c r="Q18" s="14"/>
      <c r="R18" s="23"/>
      <c r="S18" s="14"/>
      <c r="T18" s="23"/>
      <c r="U18" s="14"/>
      <c r="V18" s="23"/>
      <c r="W18" s="14"/>
      <c r="X18" s="23"/>
      <c r="Y18" s="14"/>
      <c r="Z18" s="23"/>
      <c r="AA18" s="14"/>
      <c r="AB18" s="23"/>
      <c r="AC18" s="14"/>
    </row>
    <row r="19" spans="1:29">
      <c r="A19">
        <v>12</v>
      </c>
      <c r="B19" s="2" t="str">
        <f>+B12</f>
        <v>True-up Amount to be (Refunded)/Paid based on 2024 Actual Loads</v>
      </c>
      <c r="D19" s="14"/>
      <c r="E19" s="14"/>
      <c r="F19" s="14"/>
      <c r="G19" s="14"/>
      <c r="H19" s="14"/>
      <c r="I19" s="14"/>
      <c r="J19" s="140">
        <f>J17*J18</f>
        <v>-61245.694899999973</v>
      </c>
      <c r="K19" s="14"/>
      <c r="L19" s="14"/>
      <c r="M19" s="14"/>
      <c r="N19" s="14"/>
      <c r="O19" s="14"/>
      <c r="P19" s="23"/>
      <c r="Q19" s="14"/>
      <c r="R19" s="23"/>
      <c r="S19" s="14"/>
      <c r="T19" s="23"/>
      <c r="U19" s="14"/>
      <c r="V19" s="23"/>
      <c r="W19" s="14"/>
      <c r="X19" s="23"/>
      <c r="Y19" s="14"/>
      <c r="Z19" s="23"/>
      <c r="AA19" s="14"/>
      <c r="AB19" s="23"/>
      <c r="AC19" s="14"/>
    </row>
    <row r="20" spans="1:29">
      <c r="B20" s="2"/>
      <c r="D20" s="14"/>
      <c r="E20" s="14"/>
      <c r="F20" s="14"/>
      <c r="G20" s="14"/>
      <c r="H20" s="14"/>
      <c r="I20" s="14"/>
      <c r="J20" s="144"/>
      <c r="K20" s="14"/>
      <c r="L20" s="14"/>
      <c r="M20" s="14"/>
      <c r="N20" s="14"/>
      <c r="O20" s="14"/>
      <c r="P20" s="23"/>
      <c r="Q20" s="14"/>
      <c r="R20" s="23"/>
      <c r="S20" s="14"/>
      <c r="T20" s="23"/>
      <c r="U20" s="14"/>
      <c r="V20" s="23"/>
      <c r="W20" s="14"/>
      <c r="X20" s="23"/>
      <c r="Y20" s="14"/>
      <c r="Z20" s="23"/>
      <c r="AA20" s="14"/>
      <c r="AB20" s="23"/>
      <c r="AC20" s="14"/>
    </row>
    <row r="21" spans="1:29">
      <c r="A21">
        <v>13</v>
      </c>
      <c r="B21" s="2" t="s">
        <v>75</v>
      </c>
      <c r="J21" s="139"/>
      <c r="K21" s="14"/>
      <c r="L21" s="14"/>
      <c r="M21" s="14"/>
      <c r="N21" s="14"/>
      <c r="O21" s="14"/>
      <c r="P21" s="23"/>
      <c r="Q21" s="14"/>
      <c r="R21" s="23"/>
      <c r="S21" s="14"/>
      <c r="T21" s="23"/>
      <c r="U21" s="14"/>
      <c r="V21" s="23"/>
      <c r="W21" s="14"/>
      <c r="X21" s="23"/>
      <c r="Y21" s="14"/>
      <c r="Z21" s="23"/>
      <c r="AA21" s="14"/>
      <c r="AB21" s="23"/>
      <c r="AC21" s="14"/>
    </row>
    <row r="22" spans="1:29">
      <c r="A22">
        <v>14</v>
      </c>
      <c r="B22" s="126" t="s">
        <v>130</v>
      </c>
      <c r="J22" s="140">
        <f>'Sch. 2 - Total'!H12</f>
        <v>601062</v>
      </c>
      <c r="K22" s="14"/>
      <c r="L22" s="14"/>
      <c r="M22" s="14"/>
      <c r="N22" s="14"/>
      <c r="O22" s="14"/>
      <c r="P22" s="23"/>
      <c r="Q22" s="14"/>
      <c r="R22" s="23"/>
      <c r="S22" s="14"/>
      <c r="T22" s="23"/>
      <c r="U22" s="14"/>
      <c r="V22" s="23"/>
      <c r="W22" s="14"/>
      <c r="X22" s="23"/>
      <c r="Y22" s="14"/>
      <c r="Z22" s="23"/>
      <c r="AA22" s="14"/>
      <c r="AB22" s="23"/>
      <c r="AC22" s="14"/>
    </row>
    <row r="23" spans="1:29">
      <c r="A23">
        <v>15</v>
      </c>
      <c r="B23" s="127" t="str">
        <f>B16</f>
        <v>2024 Collected Revenue</v>
      </c>
      <c r="J23" s="141">
        <v>715718.56</v>
      </c>
      <c r="K23" s="14"/>
      <c r="L23" s="14"/>
      <c r="M23" s="14"/>
      <c r="N23" s="14"/>
      <c r="O23" s="14"/>
      <c r="P23" s="23"/>
      <c r="Q23" s="14"/>
      <c r="R23" s="23"/>
      <c r="S23" s="14"/>
      <c r="T23" s="23"/>
      <c r="U23" s="14"/>
      <c r="V23" s="23"/>
      <c r="W23" s="14"/>
      <c r="X23" s="23"/>
      <c r="Y23" s="14"/>
      <c r="Z23" s="23"/>
      <c r="AA23" s="14"/>
      <c r="AB23" s="23"/>
      <c r="AC23" s="14"/>
    </row>
    <row r="24" spans="1:29">
      <c r="A24">
        <v>16</v>
      </c>
      <c r="B24" s="2" t="s">
        <v>72</v>
      </c>
      <c r="J24" s="142">
        <f>J22-J23</f>
        <v>-114656.56000000006</v>
      </c>
      <c r="K24" s="14"/>
      <c r="L24" s="14"/>
      <c r="M24" s="14"/>
      <c r="N24" s="14"/>
      <c r="O24" s="14"/>
      <c r="P24" s="23"/>
      <c r="Q24" s="14"/>
      <c r="R24" s="23"/>
      <c r="S24" s="14"/>
      <c r="T24" s="23"/>
      <c r="U24" s="14"/>
      <c r="V24" s="23"/>
      <c r="W24" s="14"/>
      <c r="X24" s="23"/>
      <c r="Y24" s="14"/>
      <c r="Z24" s="23"/>
      <c r="AA24" s="14"/>
      <c r="AB24" s="23"/>
      <c r="AC24" s="14"/>
    </row>
    <row r="25" spans="1:29">
      <c r="A25">
        <v>17</v>
      </c>
      <c r="B25" s="2" t="s">
        <v>73</v>
      </c>
      <c r="J25" s="143">
        <f>ROUND((1+$I$70)^18,2)</f>
        <v>1.1299999999999999</v>
      </c>
      <c r="K25" s="14"/>
      <c r="L25" s="14"/>
      <c r="M25" s="14"/>
      <c r="N25" s="14"/>
      <c r="O25" s="14"/>
      <c r="P25" s="23"/>
      <c r="Q25" s="14"/>
      <c r="R25" s="23"/>
      <c r="S25" s="14"/>
      <c r="T25" s="23"/>
      <c r="U25" s="14"/>
      <c r="V25" s="23"/>
      <c r="W25" s="14"/>
      <c r="X25" s="23"/>
      <c r="Y25" s="14"/>
      <c r="Z25" s="23"/>
      <c r="AA25" s="14"/>
      <c r="AB25" s="23"/>
      <c r="AC25" s="14"/>
    </row>
    <row r="26" spans="1:29">
      <c r="A26">
        <v>18</v>
      </c>
      <c r="B26" s="2" t="str">
        <f>+B12</f>
        <v>True-up Amount to be (Refunded)/Paid based on 2024 Actual Loads</v>
      </c>
      <c r="D26" s="14"/>
      <c r="E26" s="14"/>
      <c r="F26" s="14"/>
      <c r="G26" s="14"/>
      <c r="H26" s="14"/>
      <c r="I26" s="14"/>
      <c r="J26" s="140">
        <f>J24*J25</f>
        <v>-129561.91280000005</v>
      </c>
      <c r="K26" s="14"/>
      <c r="L26" s="14"/>
      <c r="M26" s="14"/>
      <c r="N26" s="14"/>
      <c r="O26" s="14"/>
      <c r="P26" s="23"/>
      <c r="Q26" s="14"/>
      <c r="R26" s="23"/>
      <c r="S26" s="14"/>
      <c r="T26" s="23"/>
      <c r="U26" s="14"/>
      <c r="V26" s="23"/>
      <c r="W26" s="14"/>
      <c r="X26" s="23"/>
      <c r="Y26" s="14"/>
      <c r="Z26" s="23"/>
      <c r="AA26" s="14"/>
      <c r="AB26" s="23"/>
      <c r="AC26" s="14"/>
    </row>
    <row r="27" spans="1:29">
      <c r="B27" s="2"/>
      <c r="D27" s="14"/>
      <c r="E27" s="14"/>
      <c r="F27" s="14"/>
      <c r="G27" s="14"/>
      <c r="H27" s="14"/>
      <c r="I27" s="14"/>
      <c r="J27" s="144"/>
      <c r="K27" s="14"/>
      <c r="L27" s="14"/>
      <c r="M27" s="14"/>
      <c r="N27" s="14"/>
      <c r="O27" s="14"/>
      <c r="P27" s="23"/>
      <c r="Q27" s="14"/>
      <c r="R27" s="23"/>
      <c r="S27" s="14"/>
      <c r="T27" s="23"/>
      <c r="U27" s="14"/>
      <c r="V27" s="23"/>
      <c r="W27" s="14"/>
      <c r="X27" s="23"/>
      <c r="Y27" s="14"/>
      <c r="Z27" s="23"/>
      <c r="AA27" s="14"/>
      <c r="AB27" s="23"/>
      <c r="AC27" s="14"/>
    </row>
    <row r="28" spans="1:29">
      <c r="A28">
        <v>19</v>
      </c>
      <c r="B28" s="2" t="s">
        <v>76</v>
      </c>
      <c r="J28" s="139"/>
      <c r="K28" s="14"/>
      <c r="L28" s="14"/>
      <c r="M28" s="14"/>
      <c r="N28" s="14"/>
      <c r="O28" s="14"/>
      <c r="P28" s="23"/>
      <c r="Q28" s="14"/>
      <c r="R28" s="23"/>
      <c r="S28" s="14"/>
      <c r="T28" s="23"/>
      <c r="U28" s="14"/>
      <c r="V28" s="23"/>
      <c r="W28" s="14"/>
      <c r="X28" s="23"/>
      <c r="Y28" s="14"/>
      <c r="Z28" s="23"/>
      <c r="AA28" s="14"/>
      <c r="AB28" s="23"/>
      <c r="AC28" s="14"/>
    </row>
    <row r="29" spans="1:29">
      <c r="A29">
        <v>20</v>
      </c>
      <c r="B29" s="126" t="s">
        <v>130</v>
      </c>
      <c r="J29" s="140">
        <f>'Sch. 2 - Total'!H13</f>
        <v>260384</v>
      </c>
      <c r="K29" s="14"/>
      <c r="L29" s="14"/>
      <c r="M29" s="14"/>
      <c r="N29" s="14"/>
      <c r="O29" s="14"/>
      <c r="P29" s="23"/>
      <c r="Q29" s="14"/>
      <c r="R29" s="23"/>
      <c r="S29" s="14"/>
      <c r="T29" s="23"/>
      <c r="U29" s="14"/>
      <c r="V29" s="23"/>
      <c r="W29" s="14"/>
      <c r="X29" s="23"/>
      <c r="Y29" s="14"/>
      <c r="Z29" s="23"/>
      <c r="AA29" s="14"/>
      <c r="AB29" s="23"/>
      <c r="AC29" s="14"/>
    </row>
    <row r="30" spans="1:29">
      <c r="A30">
        <v>21</v>
      </c>
      <c r="B30" s="127" t="str">
        <f>B23</f>
        <v>2024 Collected Revenue</v>
      </c>
      <c r="J30" s="141">
        <v>308158.21999999997</v>
      </c>
      <c r="K30" s="14"/>
      <c r="L30" s="14"/>
      <c r="M30" s="14"/>
      <c r="N30" s="14"/>
      <c r="O30" s="14"/>
      <c r="P30" s="23"/>
      <c r="Q30" s="14"/>
      <c r="R30" s="23"/>
      <c r="S30" s="14"/>
      <c r="T30" s="23"/>
      <c r="U30" s="14"/>
      <c r="V30" s="23"/>
      <c r="W30" s="14"/>
      <c r="X30" s="23"/>
      <c r="Y30" s="14"/>
      <c r="Z30" s="23"/>
      <c r="AA30" s="14"/>
      <c r="AB30" s="23"/>
      <c r="AC30" s="14"/>
    </row>
    <row r="31" spans="1:29">
      <c r="A31">
        <v>22</v>
      </c>
      <c r="B31" s="2" t="s">
        <v>72</v>
      </c>
      <c r="J31" s="142">
        <f>J29-J30</f>
        <v>-47774.219999999972</v>
      </c>
      <c r="K31" s="14"/>
      <c r="L31" s="14"/>
      <c r="M31" s="14"/>
      <c r="N31" s="14"/>
      <c r="O31" s="14"/>
      <c r="P31" s="23"/>
      <c r="Q31" s="14"/>
      <c r="R31" s="23"/>
      <c r="S31" s="14"/>
      <c r="T31" s="23"/>
      <c r="U31" s="14"/>
      <c r="V31" s="23"/>
      <c r="W31" s="14"/>
      <c r="X31" s="23"/>
      <c r="Y31" s="14"/>
      <c r="Z31" s="23"/>
      <c r="AA31" s="14"/>
      <c r="AB31" s="23"/>
      <c r="AC31" s="14"/>
    </row>
    <row r="32" spans="1:29">
      <c r="A32">
        <v>23</v>
      </c>
      <c r="B32" s="2" t="s">
        <v>73</v>
      </c>
      <c r="J32" s="143">
        <f>ROUND((1+$I$70)^18,2)</f>
        <v>1.1299999999999999</v>
      </c>
      <c r="K32" s="14"/>
      <c r="L32" s="14"/>
      <c r="M32" s="14"/>
      <c r="N32" s="14"/>
      <c r="O32" s="14"/>
      <c r="P32" s="23"/>
      <c r="Q32" s="14"/>
      <c r="R32" s="23"/>
      <c r="S32" s="14"/>
      <c r="T32" s="23"/>
      <c r="U32" s="14"/>
      <c r="V32" s="23"/>
      <c r="W32" s="14"/>
      <c r="X32" s="23"/>
      <c r="Y32" s="14"/>
      <c r="Z32" s="23"/>
      <c r="AA32" s="14"/>
      <c r="AB32" s="23"/>
      <c r="AC32" s="14"/>
    </row>
    <row r="33" spans="1:29">
      <c r="A33">
        <v>24</v>
      </c>
      <c r="B33" s="2" t="str">
        <f>+B12</f>
        <v>True-up Amount to be (Refunded)/Paid based on 2024 Actual Loads</v>
      </c>
      <c r="D33" s="14"/>
      <c r="E33" s="14"/>
      <c r="F33" s="14"/>
      <c r="G33" s="14"/>
      <c r="H33" s="14"/>
      <c r="I33" s="14"/>
      <c r="J33" s="140">
        <f>J31*J32</f>
        <v>-53984.868599999965</v>
      </c>
      <c r="K33" s="14"/>
      <c r="L33" s="14"/>
      <c r="M33" s="14"/>
      <c r="N33" s="14"/>
      <c r="O33" s="14"/>
      <c r="P33" s="23"/>
      <c r="Q33" s="14"/>
      <c r="R33" s="23"/>
      <c r="S33" s="14"/>
      <c r="T33" s="23"/>
      <c r="U33" s="14"/>
      <c r="V33" s="23"/>
      <c r="W33" s="14"/>
      <c r="X33" s="23"/>
      <c r="Y33" s="14"/>
      <c r="Z33" s="23"/>
      <c r="AA33" s="14"/>
      <c r="AB33" s="23"/>
      <c r="AC33" s="14"/>
    </row>
    <row r="34" spans="1:29">
      <c r="B34" s="2"/>
      <c r="D34" s="14"/>
      <c r="E34" s="14"/>
      <c r="F34" s="14"/>
      <c r="G34" s="14"/>
      <c r="H34" s="14"/>
      <c r="I34" s="14"/>
      <c r="J34" s="144"/>
      <c r="K34" s="14"/>
      <c r="L34" s="14"/>
      <c r="M34" s="14"/>
      <c r="N34" s="14"/>
      <c r="O34" s="14"/>
      <c r="P34" s="23"/>
      <c r="Q34" s="14"/>
      <c r="R34" s="23"/>
      <c r="S34" s="14"/>
      <c r="T34" s="23"/>
      <c r="U34" s="14"/>
      <c r="V34" s="23"/>
      <c r="W34" s="14"/>
      <c r="X34" s="23"/>
      <c r="Y34" s="14"/>
      <c r="Z34" s="23"/>
      <c r="AA34" s="14"/>
      <c r="AB34" s="23"/>
      <c r="AC34" s="14"/>
    </row>
    <row r="35" spans="1:29">
      <c r="A35">
        <v>25</v>
      </c>
      <c r="B35" s="2" t="s">
        <v>77</v>
      </c>
      <c r="J35" s="139"/>
      <c r="K35" s="14"/>
      <c r="L35" s="14"/>
      <c r="M35" s="14"/>
      <c r="N35" s="14"/>
      <c r="O35" s="14"/>
      <c r="P35" s="23"/>
      <c r="Q35" s="14"/>
      <c r="R35" s="23"/>
      <c r="S35" s="14"/>
      <c r="T35" s="23"/>
      <c r="U35" s="14"/>
      <c r="V35" s="23"/>
      <c r="W35" s="14"/>
      <c r="X35" s="23"/>
      <c r="Y35" s="14"/>
      <c r="Z35" s="23"/>
      <c r="AA35" s="14"/>
      <c r="AB35" s="23"/>
      <c r="AC35" s="14"/>
    </row>
    <row r="36" spans="1:29">
      <c r="A36">
        <v>26</v>
      </c>
      <c r="B36" s="126" t="s">
        <v>130</v>
      </c>
      <c r="J36" s="140">
        <f>'Sch. 2 - Total'!H14</f>
        <v>1034689</v>
      </c>
      <c r="K36" s="14"/>
      <c r="L36" s="14"/>
      <c r="M36" s="14"/>
      <c r="N36" s="14"/>
      <c r="O36" s="14"/>
      <c r="P36" s="23"/>
      <c r="Q36" s="14"/>
      <c r="R36" s="23"/>
      <c r="S36" s="14"/>
      <c r="T36" s="23"/>
      <c r="U36" s="14"/>
      <c r="V36" s="23"/>
      <c r="W36" s="14"/>
      <c r="X36" s="23"/>
      <c r="Y36" s="14"/>
      <c r="Z36" s="23"/>
      <c r="AA36" s="14"/>
      <c r="AB36" s="23"/>
      <c r="AC36" s="14"/>
    </row>
    <row r="37" spans="1:29">
      <c r="A37">
        <v>27</v>
      </c>
      <c r="B37" s="127" t="str">
        <f>B30</f>
        <v>2024 Collected Revenue</v>
      </c>
      <c r="J37" s="141">
        <v>1234348.52</v>
      </c>
      <c r="K37" s="14"/>
      <c r="L37" s="14"/>
      <c r="M37" s="14"/>
      <c r="N37" s="14"/>
      <c r="O37" s="14"/>
      <c r="P37" s="23"/>
      <c r="Q37" s="14"/>
      <c r="R37" s="23"/>
      <c r="S37" s="14"/>
      <c r="T37" s="23"/>
      <c r="U37" s="14"/>
      <c r="V37" s="23"/>
      <c r="W37" s="14"/>
      <c r="X37" s="23"/>
      <c r="Y37" s="14"/>
      <c r="Z37" s="23"/>
      <c r="AA37" s="14"/>
      <c r="AB37" s="23"/>
      <c r="AC37" s="14"/>
    </row>
    <row r="38" spans="1:29">
      <c r="A38">
        <v>28</v>
      </c>
      <c r="B38" s="2" t="s">
        <v>72</v>
      </c>
      <c r="J38" s="142">
        <f>J36-J37</f>
        <v>-199659.52000000002</v>
      </c>
      <c r="K38" s="14"/>
      <c r="L38" s="14"/>
      <c r="M38" s="14"/>
      <c r="N38" s="14"/>
      <c r="O38" s="14"/>
      <c r="P38" s="23"/>
      <c r="Q38" s="14"/>
      <c r="R38" s="23"/>
      <c r="S38" s="14"/>
      <c r="T38" s="23"/>
      <c r="U38" s="14"/>
      <c r="V38" s="23"/>
      <c r="W38" s="14"/>
      <c r="X38" s="23"/>
      <c r="Y38" s="14"/>
      <c r="Z38" s="23"/>
      <c r="AA38" s="14"/>
      <c r="AB38" s="23"/>
      <c r="AC38" s="14"/>
    </row>
    <row r="39" spans="1:29">
      <c r="A39">
        <v>29</v>
      </c>
      <c r="B39" s="2" t="s">
        <v>73</v>
      </c>
      <c r="J39" s="143">
        <f>ROUND((1+$I$70)^18,2)</f>
        <v>1.1299999999999999</v>
      </c>
      <c r="K39" s="14"/>
      <c r="L39" s="14"/>
      <c r="M39" s="14"/>
      <c r="N39" s="14"/>
      <c r="O39" s="14"/>
      <c r="P39" s="23"/>
      <c r="Q39" s="14"/>
      <c r="R39" s="23"/>
      <c r="S39" s="14"/>
      <c r="T39" s="23"/>
      <c r="U39" s="14"/>
      <c r="V39" s="23"/>
      <c r="W39" s="14"/>
      <c r="X39" s="23"/>
      <c r="Y39" s="14"/>
      <c r="Z39" s="23"/>
      <c r="AA39" s="14"/>
      <c r="AB39" s="23"/>
      <c r="AC39" s="14"/>
    </row>
    <row r="40" spans="1:29">
      <c r="A40">
        <v>30</v>
      </c>
      <c r="B40" s="2" t="str">
        <f>+B12</f>
        <v>True-up Amount to be (Refunded)/Paid based on 2024 Actual Loads</v>
      </c>
      <c r="D40" s="14"/>
      <c r="E40" s="14"/>
      <c r="F40" s="14"/>
      <c r="G40" s="14"/>
      <c r="H40" s="14"/>
      <c r="I40" s="14"/>
      <c r="J40" s="140">
        <f>J38*J39</f>
        <v>-225615.25760000001</v>
      </c>
      <c r="K40" s="14"/>
      <c r="L40" s="14"/>
      <c r="Q40" s="14"/>
      <c r="R40" s="23"/>
      <c r="S40" s="14"/>
      <c r="T40" s="23"/>
      <c r="U40" s="14"/>
      <c r="V40" s="23"/>
      <c r="W40" s="14"/>
      <c r="X40" s="23"/>
      <c r="Y40" s="14"/>
      <c r="Z40" s="23"/>
      <c r="AA40" s="14"/>
      <c r="AB40" s="23"/>
      <c r="AC40" s="14"/>
    </row>
    <row r="41" spans="1:29">
      <c r="B41" s="2"/>
      <c r="D41" s="14"/>
      <c r="E41" s="14"/>
      <c r="F41" s="14"/>
      <c r="G41" s="14"/>
      <c r="H41" s="14"/>
      <c r="I41" s="14"/>
      <c r="J41" s="144"/>
      <c r="K41" s="14"/>
      <c r="L41" s="14"/>
      <c r="Q41" s="14"/>
      <c r="R41" s="23"/>
      <c r="S41" s="14"/>
      <c r="T41" s="23"/>
      <c r="U41" s="14"/>
      <c r="V41" s="23"/>
      <c r="W41" s="14"/>
      <c r="X41" s="23"/>
      <c r="Y41" s="14"/>
      <c r="Z41" s="23"/>
      <c r="AA41" s="14"/>
      <c r="AB41" s="23"/>
      <c r="AC41" s="14"/>
    </row>
    <row r="42" spans="1:29">
      <c r="A42">
        <v>30</v>
      </c>
      <c r="B42" s="2" t="s">
        <v>78</v>
      </c>
      <c r="J42" s="139"/>
      <c r="K42" s="14"/>
      <c r="L42" s="14"/>
      <c r="Q42" s="14"/>
      <c r="R42" s="23"/>
      <c r="S42" s="14"/>
      <c r="T42" s="23"/>
      <c r="U42" s="14"/>
      <c r="V42" s="23"/>
      <c r="W42" s="14"/>
      <c r="X42" s="23"/>
      <c r="Y42" s="14"/>
      <c r="Z42" s="23"/>
      <c r="AA42" s="14"/>
      <c r="AB42" s="23"/>
      <c r="AC42" s="14"/>
    </row>
    <row r="43" spans="1:29">
      <c r="A43">
        <v>31</v>
      </c>
      <c r="B43" s="126" t="s">
        <v>130</v>
      </c>
      <c r="J43" s="140">
        <f>'Sch. 2 - Total'!H15</f>
        <v>66747</v>
      </c>
      <c r="K43" s="14"/>
      <c r="Q43" s="14"/>
      <c r="R43" s="23"/>
      <c r="S43" s="14"/>
      <c r="T43" s="23"/>
      <c r="U43" s="14"/>
      <c r="V43" s="23"/>
      <c r="W43" s="14"/>
      <c r="X43" s="23"/>
      <c r="Y43" s="14"/>
      <c r="Z43" s="23"/>
      <c r="AA43" s="14"/>
      <c r="AB43" s="23"/>
      <c r="AC43" s="14"/>
    </row>
    <row r="44" spans="1:29">
      <c r="A44">
        <v>33</v>
      </c>
      <c r="B44" s="127" t="str">
        <f>B37</f>
        <v>2024 Collected Revenue</v>
      </c>
      <c r="J44" s="141">
        <v>77928.66</v>
      </c>
      <c r="K44" s="14"/>
      <c r="Q44" s="14"/>
      <c r="R44" s="23"/>
      <c r="S44" s="14"/>
      <c r="T44" s="23"/>
      <c r="U44" s="14"/>
      <c r="V44" s="23"/>
      <c r="W44" s="14"/>
      <c r="X44" s="23"/>
      <c r="Y44" s="14"/>
      <c r="Z44" s="23"/>
      <c r="AA44" s="14"/>
      <c r="AB44" s="23"/>
      <c r="AC44" s="14"/>
    </row>
    <row r="45" spans="1:29">
      <c r="A45">
        <v>34</v>
      </c>
      <c r="B45" s="2" t="s">
        <v>72</v>
      </c>
      <c r="J45" s="142">
        <f>J43-J44</f>
        <v>-11181.660000000003</v>
      </c>
      <c r="K45" s="14"/>
      <c r="L45" s="13"/>
      <c r="Q45" s="14"/>
      <c r="R45" s="23"/>
      <c r="S45" s="14"/>
      <c r="T45" s="23"/>
      <c r="U45" s="14"/>
      <c r="V45" s="23"/>
      <c r="W45" s="14"/>
      <c r="X45" s="23"/>
      <c r="Y45" s="14"/>
      <c r="Z45" s="23"/>
      <c r="AA45" s="14"/>
      <c r="AB45" s="23"/>
      <c r="AC45" s="14"/>
    </row>
    <row r="46" spans="1:29">
      <c r="A46">
        <v>35</v>
      </c>
      <c r="B46" s="2" t="s">
        <v>73</v>
      </c>
      <c r="J46" s="143">
        <f>ROUND((1+$I$70)^18,2)</f>
        <v>1.1299999999999999</v>
      </c>
      <c r="K46" s="14"/>
      <c r="L46" s="14"/>
      <c r="Q46" s="14"/>
      <c r="R46" s="23"/>
      <c r="S46" s="14"/>
      <c r="T46" s="23"/>
      <c r="U46" s="14"/>
      <c r="V46" s="23"/>
      <c r="W46" s="14"/>
      <c r="X46" s="23"/>
      <c r="Y46" s="14"/>
      <c r="Z46" s="23"/>
      <c r="AA46" s="14"/>
      <c r="AB46" s="23"/>
      <c r="AC46" s="14"/>
    </row>
    <row r="47" spans="1:29">
      <c r="A47">
        <v>36</v>
      </c>
      <c r="B47" s="2" t="str">
        <f>+B12</f>
        <v>True-up Amount to be (Refunded)/Paid based on 2024 Actual Loads</v>
      </c>
      <c r="D47" s="14"/>
      <c r="E47" s="14"/>
      <c r="F47" s="14"/>
      <c r="G47" s="14"/>
      <c r="H47" s="14"/>
      <c r="I47" s="14"/>
      <c r="J47" s="140">
        <f>J45*J46</f>
        <v>-12635.275800000003</v>
      </c>
      <c r="K47" s="14"/>
      <c r="L47" s="14"/>
      <c r="Q47" s="14"/>
      <c r="R47" s="23"/>
      <c r="S47" s="14"/>
      <c r="T47" s="23"/>
      <c r="U47" s="14"/>
      <c r="V47" s="23"/>
      <c r="W47" s="14"/>
      <c r="X47" s="23"/>
      <c r="Y47" s="14"/>
      <c r="Z47" s="23"/>
      <c r="AA47" s="14"/>
      <c r="AB47" s="23"/>
      <c r="AC47" s="14"/>
    </row>
    <row r="48" spans="1:29">
      <c r="B48" s="2"/>
      <c r="D48" s="14"/>
      <c r="E48" s="14"/>
      <c r="F48" s="14"/>
      <c r="G48" s="14"/>
      <c r="H48" s="14"/>
      <c r="I48" s="14"/>
      <c r="J48" s="145"/>
      <c r="K48" s="14"/>
      <c r="L48" s="14"/>
      <c r="Q48" s="14"/>
      <c r="R48" s="23"/>
      <c r="S48" s="14"/>
      <c r="T48" s="23"/>
      <c r="U48" s="14"/>
      <c r="V48" s="23"/>
      <c r="W48" s="14"/>
      <c r="X48" s="23"/>
      <c r="Y48" s="14"/>
      <c r="Z48" s="23"/>
      <c r="AA48" s="14"/>
      <c r="AB48" s="23"/>
      <c r="AC48" s="14"/>
    </row>
    <row r="49" spans="1:29">
      <c r="A49">
        <v>37</v>
      </c>
      <c r="C49" t="s">
        <v>79</v>
      </c>
      <c r="D49" t="s">
        <v>80</v>
      </c>
      <c r="E49" s="15"/>
      <c r="F49" s="15"/>
      <c r="G49" s="15"/>
      <c r="H49" s="15"/>
      <c r="I49" s="15"/>
      <c r="J49" s="15"/>
      <c r="K49" s="15"/>
      <c r="L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>
      <c r="A51">
        <v>38</v>
      </c>
      <c r="B51" t="s">
        <v>81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>
      <c r="A52">
        <v>39</v>
      </c>
      <c r="E52" s="15"/>
      <c r="F52" s="15"/>
      <c r="G52" s="15"/>
      <c r="H52" s="15"/>
      <c r="I52" s="15" t="s">
        <v>82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>
      <c r="A53">
        <v>40</v>
      </c>
      <c r="C53" t="s">
        <v>83</v>
      </c>
      <c r="F53" s="24" t="s">
        <v>84</v>
      </c>
      <c r="I53" t="s">
        <v>85</v>
      </c>
    </row>
    <row r="54" spans="1:29">
      <c r="A54">
        <f t="shared" ref="A54:A70" si="0">A53+1</f>
        <v>41</v>
      </c>
      <c r="C54" t="s">
        <v>22</v>
      </c>
      <c r="F54" s="24">
        <v>2024</v>
      </c>
      <c r="I54" s="128">
        <v>7.1999999999999998E-3</v>
      </c>
    </row>
    <row r="55" spans="1:29">
      <c r="A55">
        <f t="shared" si="0"/>
        <v>42</v>
      </c>
      <c r="C55" t="s">
        <v>23</v>
      </c>
      <c r="F55" s="24">
        <f>F54</f>
        <v>2024</v>
      </c>
      <c r="I55" s="128">
        <v>6.7999999999999996E-3</v>
      </c>
    </row>
    <row r="56" spans="1:29">
      <c r="A56">
        <f t="shared" si="0"/>
        <v>43</v>
      </c>
      <c r="C56" t="s">
        <v>24</v>
      </c>
      <c r="F56" s="24">
        <f t="shared" ref="F56:F65" si="1">F55</f>
        <v>2024</v>
      </c>
      <c r="I56" s="128">
        <v>7.1999999999999998E-3</v>
      </c>
    </row>
    <row r="57" spans="1:29">
      <c r="A57">
        <f t="shared" si="0"/>
        <v>44</v>
      </c>
      <c r="C57" t="s">
        <v>28</v>
      </c>
      <c r="F57" s="24">
        <f t="shared" si="1"/>
        <v>2024</v>
      </c>
      <c r="I57" s="128">
        <v>7.0000000000000001E-3</v>
      </c>
    </row>
    <row r="58" spans="1:29">
      <c r="A58">
        <f t="shared" si="0"/>
        <v>45</v>
      </c>
      <c r="C58" t="s">
        <v>29</v>
      </c>
      <c r="F58" s="24">
        <f t="shared" si="1"/>
        <v>2024</v>
      </c>
      <c r="I58" s="128">
        <v>7.1999999999999998E-3</v>
      </c>
    </row>
    <row r="59" spans="1:29">
      <c r="A59">
        <f t="shared" si="0"/>
        <v>46</v>
      </c>
      <c r="C59" t="s">
        <v>30</v>
      </c>
      <c r="F59" s="24">
        <f t="shared" si="1"/>
        <v>2024</v>
      </c>
      <c r="I59" s="128">
        <v>7.0000000000000001E-3</v>
      </c>
    </row>
    <row r="60" spans="1:29">
      <c r="A60">
        <f t="shared" si="0"/>
        <v>47</v>
      </c>
      <c r="C60" t="s">
        <v>25</v>
      </c>
      <c r="F60" s="24">
        <f t="shared" si="1"/>
        <v>2024</v>
      </c>
      <c r="I60" s="128">
        <v>7.1999999999999998E-3</v>
      </c>
    </row>
    <row r="61" spans="1:29">
      <c r="A61">
        <f t="shared" si="0"/>
        <v>48</v>
      </c>
      <c r="C61" t="s">
        <v>19</v>
      </c>
      <c r="F61" s="24">
        <f t="shared" si="1"/>
        <v>2024</v>
      </c>
      <c r="I61" s="128">
        <v>7.1999999999999998E-3</v>
      </c>
    </row>
    <row r="62" spans="1:29">
      <c r="A62">
        <f t="shared" si="0"/>
        <v>49</v>
      </c>
      <c r="C62" t="s">
        <v>26</v>
      </c>
      <c r="F62" s="24">
        <f t="shared" si="1"/>
        <v>2024</v>
      </c>
      <c r="I62" s="128">
        <v>7.0000000000000001E-3</v>
      </c>
    </row>
    <row r="63" spans="1:29">
      <c r="A63">
        <f t="shared" si="0"/>
        <v>50</v>
      </c>
      <c r="C63" t="s">
        <v>20</v>
      </c>
      <c r="F63" s="24">
        <f t="shared" si="1"/>
        <v>2024</v>
      </c>
      <c r="I63" s="128">
        <v>7.1999999999999998E-3</v>
      </c>
    </row>
    <row r="64" spans="1:29">
      <c r="A64">
        <f t="shared" si="0"/>
        <v>51</v>
      </c>
      <c r="C64" t="s">
        <v>21</v>
      </c>
      <c r="F64" s="24">
        <f t="shared" si="1"/>
        <v>2024</v>
      </c>
      <c r="I64" s="128">
        <v>7.0000000000000001E-3</v>
      </c>
    </row>
    <row r="65" spans="1:9">
      <c r="A65">
        <f t="shared" si="0"/>
        <v>52</v>
      </c>
      <c r="C65" t="s">
        <v>27</v>
      </c>
      <c r="F65" s="24">
        <f t="shared" si="1"/>
        <v>2024</v>
      </c>
      <c r="I65" s="128">
        <v>7.1999999999999998E-3</v>
      </c>
    </row>
    <row r="66" spans="1:9">
      <c r="A66">
        <f t="shared" si="0"/>
        <v>53</v>
      </c>
      <c r="C66" t="s">
        <v>22</v>
      </c>
      <c r="F66" s="24">
        <f>F65+1</f>
        <v>2025</v>
      </c>
      <c r="I66" s="128">
        <v>6.7999999999999996E-3</v>
      </c>
    </row>
    <row r="67" spans="1:9">
      <c r="A67">
        <f t="shared" si="0"/>
        <v>54</v>
      </c>
      <c r="C67" t="s">
        <v>23</v>
      </c>
      <c r="F67" s="24">
        <f>F66</f>
        <v>2025</v>
      </c>
      <c r="I67" s="128">
        <v>6.1999999999999998E-3</v>
      </c>
    </row>
    <row r="68" spans="1:9">
      <c r="A68">
        <f t="shared" si="0"/>
        <v>55</v>
      </c>
      <c r="C68" t="s">
        <v>24</v>
      </c>
      <c r="F68" s="24">
        <f>F67</f>
        <v>2025</v>
      </c>
      <c r="I68" s="128">
        <v>6.7999999999999996E-3</v>
      </c>
    </row>
    <row r="69" spans="1:9">
      <c r="A69">
        <f t="shared" si="0"/>
        <v>56</v>
      </c>
      <c r="C69" t="s">
        <v>28</v>
      </c>
      <c r="F69" s="24">
        <f>F68</f>
        <v>2025</v>
      </c>
      <c r="I69" s="128">
        <v>6.1999999999999998E-3</v>
      </c>
    </row>
    <row r="70" spans="1:9">
      <c r="A70">
        <f t="shared" si="0"/>
        <v>57</v>
      </c>
      <c r="D70" t="s">
        <v>86</v>
      </c>
      <c r="I70" s="16">
        <f>AVERAGE(I54:I69)</f>
        <v>6.9499999999999996E-3</v>
      </c>
    </row>
  </sheetData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78"/>
  <sheetViews>
    <sheetView zoomScale="85" zoomScaleNormal="85" workbookViewId="0">
      <selection activeCell="M54" sqref="A1:XFD1048576"/>
    </sheetView>
  </sheetViews>
  <sheetFormatPr defaultRowHeight="14.25"/>
  <cols>
    <col min="1" max="1" width="9.140625" style="41"/>
    <col min="2" max="2" width="25.7109375" style="41" customWidth="1"/>
    <col min="3" max="6" width="14.140625" style="41" customWidth="1"/>
    <col min="7" max="7" width="15.42578125" style="41" customWidth="1"/>
    <col min="8" max="8" width="14.140625" style="41" customWidth="1"/>
    <col min="9" max="9" width="16.140625" style="41" customWidth="1"/>
    <col min="10" max="16384" width="9.140625" style="41"/>
  </cols>
  <sheetData>
    <row r="1" spans="1:13" ht="15">
      <c r="A1" s="39" t="s">
        <v>34</v>
      </c>
      <c r="B1" s="40"/>
      <c r="C1" s="40"/>
      <c r="D1" s="40"/>
      <c r="E1" s="40"/>
      <c r="F1" s="40"/>
      <c r="G1" s="40"/>
      <c r="I1" s="42" t="str">
        <f>+'Under-Over Recovery'!J2</f>
        <v>Black Hills Power, Inc.</v>
      </c>
      <c r="J1" s="43"/>
    </row>
    <row r="2" spans="1:13" ht="15">
      <c r="A2" s="40"/>
      <c r="B2" s="44"/>
      <c r="C2" s="45"/>
      <c r="D2" s="45"/>
      <c r="E2" s="45"/>
      <c r="F2" s="45"/>
      <c r="G2" s="45"/>
      <c r="H2" s="40"/>
      <c r="I2" s="42" t="str">
        <f>+'Under-Over Recovery'!J3</f>
        <v>May 31, 2025</v>
      </c>
      <c r="J2" s="40"/>
    </row>
    <row r="3" spans="1:13" ht="15">
      <c r="A3" s="40"/>
      <c r="B3" s="46" t="s">
        <v>33</v>
      </c>
      <c r="C3" s="46"/>
      <c r="D3" s="46"/>
      <c r="E3" s="46"/>
      <c r="F3" s="46"/>
      <c r="G3" s="46"/>
      <c r="H3" s="46"/>
    </row>
    <row r="4" spans="1:13" ht="15">
      <c r="A4" s="40"/>
      <c r="B4" s="46" t="s">
        <v>7</v>
      </c>
      <c r="C4" s="46"/>
      <c r="D4" s="46"/>
      <c r="E4" s="46"/>
      <c r="F4" s="46"/>
      <c r="G4" s="46"/>
      <c r="H4" s="46"/>
    </row>
    <row r="5" spans="1:13" ht="15">
      <c r="A5" s="40"/>
      <c r="B5" s="44"/>
      <c r="C5" s="47"/>
      <c r="D5" s="45"/>
      <c r="E5" s="40"/>
      <c r="F5" s="45"/>
      <c r="G5" s="45"/>
      <c r="H5" s="45"/>
      <c r="I5" s="45"/>
      <c r="J5" s="40"/>
    </row>
    <row r="6" spans="1:13" ht="17.25">
      <c r="A6" s="48" t="s">
        <v>31</v>
      </c>
      <c r="B6" s="49"/>
      <c r="C6" s="51" t="s">
        <v>120</v>
      </c>
      <c r="D6" s="52"/>
      <c r="E6" s="52"/>
      <c r="F6" s="52"/>
      <c r="G6" s="53"/>
      <c r="H6" s="50"/>
      <c r="I6" s="54"/>
      <c r="J6" s="55"/>
    </row>
    <row r="7" spans="1:13" ht="15" thickBot="1">
      <c r="A7" s="56" t="s">
        <v>32</v>
      </c>
      <c r="B7" s="54"/>
      <c r="C7" s="54"/>
      <c r="D7" s="54"/>
      <c r="E7" s="54"/>
      <c r="F7" s="54"/>
      <c r="G7" s="54"/>
      <c r="H7" s="54"/>
      <c r="I7" s="54"/>
      <c r="J7" s="55"/>
    </row>
    <row r="8" spans="1:13" ht="13.5" customHeight="1">
      <c r="A8" s="57">
        <v>1</v>
      </c>
      <c r="B8" s="58"/>
      <c r="C8" s="60" t="s">
        <v>6</v>
      </c>
      <c r="D8" s="60" t="s">
        <v>8</v>
      </c>
      <c r="E8" s="60" t="s">
        <v>9</v>
      </c>
      <c r="F8" s="59" t="s">
        <v>10</v>
      </c>
      <c r="G8" s="60" t="s">
        <v>17</v>
      </c>
      <c r="H8" s="60" t="s">
        <v>37</v>
      </c>
      <c r="I8" s="60" t="s">
        <v>4</v>
      </c>
      <c r="J8" s="55"/>
    </row>
    <row r="9" spans="1:13" ht="13.5" customHeight="1">
      <c r="A9" s="57">
        <f>A8+1</f>
        <v>2</v>
      </c>
      <c r="B9" s="61"/>
      <c r="C9" s="63" t="s">
        <v>4</v>
      </c>
      <c r="D9" s="63" t="s">
        <v>4</v>
      </c>
      <c r="E9" s="63" t="s">
        <v>11</v>
      </c>
      <c r="F9" s="62" t="s">
        <v>12</v>
      </c>
      <c r="G9" s="63" t="s">
        <v>18</v>
      </c>
      <c r="H9" s="63" t="s">
        <v>38</v>
      </c>
      <c r="I9" s="63" t="s">
        <v>14</v>
      </c>
      <c r="J9" s="55"/>
      <c r="K9" s="64"/>
    </row>
    <row r="10" spans="1:13" ht="13.5" customHeight="1" thickBot="1">
      <c r="A10" s="57">
        <f t="shared" ref="A10:A69" si="0">A9+1</f>
        <v>3</v>
      </c>
      <c r="B10" s="65"/>
      <c r="C10" s="67" t="s">
        <v>13</v>
      </c>
      <c r="D10" s="67" t="s">
        <v>13</v>
      </c>
      <c r="E10" s="67" t="s">
        <v>13</v>
      </c>
      <c r="F10" s="66" t="s">
        <v>13</v>
      </c>
      <c r="G10" s="67" t="s">
        <v>13</v>
      </c>
      <c r="H10" s="67" t="s">
        <v>13</v>
      </c>
      <c r="I10" s="63" t="s">
        <v>15</v>
      </c>
      <c r="J10" s="55"/>
    </row>
    <row r="11" spans="1:13" ht="13.5" customHeight="1">
      <c r="A11" s="57">
        <f t="shared" si="0"/>
        <v>4</v>
      </c>
      <c r="B11" s="68" t="s">
        <v>22</v>
      </c>
      <c r="C11" s="28">
        <v>325</v>
      </c>
      <c r="D11" s="29">
        <v>308</v>
      </c>
      <c r="E11" s="30">
        <v>2</v>
      </c>
      <c r="F11" s="29">
        <v>63</v>
      </c>
      <c r="G11" s="31">
        <v>347</v>
      </c>
      <c r="H11" s="28">
        <v>0</v>
      </c>
      <c r="I11" s="69">
        <f>SUM(C11:H11)</f>
        <v>1045</v>
      </c>
      <c r="J11" s="55"/>
      <c r="M11" s="70"/>
    </row>
    <row r="12" spans="1:13" ht="13.5" customHeight="1">
      <c r="A12" s="57">
        <f t="shared" si="0"/>
        <v>5</v>
      </c>
      <c r="B12" s="71" t="s">
        <v>23</v>
      </c>
      <c r="C12" s="32">
        <v>286</v>
      </c>
      <c r="D12" s="33">
        <v>301</v>
      </c>
      <c r="E12" s="34">
        <v>2</v>
      </c>
      <c r="F12" s="33">
        <v>50</v>
      </c>
      <c r="G12" s="35">
        <v>347</v>
      </c>
      <c r="H12" s="32">
        <v>0</v>
      </c>
      <c r="I12" s="72">
        <f t="shared" ref="I12:I22" si="1">SUM(C12:H12)</f>
        <v>986</v>
      </c>
      <c r="J12" s="55"/>
      <c r="M12" s="70"/>
    </row>
    <row r="13" spans="1:13">
      <c r="A13" s="57">
        <f t="shared" si="0"/>
        <v>6</v>
      </c>
      <c r="B13" s="71" t="s">
        <v>24</v>
      </c>
      <c r="C13" s="32">
        <v>266</v>
      </c>
      <c r="D13" s="33">
        <v>273</v>
      </c>
      <c r="E13" s="34">
        <v>2</v>
      </c>
      <c r="F13" s="33">
        <v>43</v>
      </c>
      <c r="G13" s="35">
        <v>347</v>
      </c>
      <c r="H13" s="32">
        <v>0</v>
      </c>
      <c r="I13" s="72">
        <f t="shared" si="1"/>
        <v>931</v>
      </c>
      <c r="J13" s="55"/>
      <c r="M13" s="70"/>
    </row>
    <row r="14" spans="1:13">
      <c r="A14" s="57">
        <f t="shared" si="0"/>
        <v>7</v>
      </c>
      <c r="B14" s="71" t="s">
        <v>28</v>
      </c>
      <c r="C14" s="32">
        <v>232</v>
      </c>
      <c r="D14" s="33">
        <v>228</v>
      </c>
      <c r="E14" s="34">
        <v>2</v>
      </c>
      <c r="F14" s="33">
        <v>37</v>
      </c>
      <c r="G14" s="35">
        <v>347</v>
      </c>
      <c r="H14" s="32">
        <v>0</v>
      </c>
      <c r="I14" s="72">
        <f t="shared" si="1"/>
        <v>846</v>
      </c>
      <c r="J14" s="55"/>
      <c r="M14" s="70"/>
    </row>
    <row r="15" spans="1:13">
      <c r="A15" s="57">
        <f t="shared" si="0"/>
        <v>8</v>
      </c>
      <c r="B15" s="71" t="s">
        <v>29</v>
      </c>
      <c r="C15" s="32">
        <v>202</v>
      </c>
      <c r="D15" s="33">
        <v>236</v>
      </c>
      <c r="E15" s="34">
        <v>2</v>
      </c>
      <c r="F15" s="33">
        <v>32</v>
      </c>
      <c r="G15" s="35">
        <v>347</v>
      </c>
      <c r="H15" s="32">
        <v>0</v>
      </c>
      <c r="I15" s="72">
        <f t="shared" si="1"/>
        <v>819</v>
      </c>
      <c r="J15" s="55"/>
      <c r="M15" s="70"/>
    </row>
    <row r="16" spans="1:13">
      <c r="A16" s="57">
        <f t="shared" si="0"/>
        <v>9</v>
      </c>
      <c r="B16" s="71" t="s">
        <v>30</v>
      </c>
      <c r="C16" s="32">
        <v>355</v>
      </c>
      <c r="D16" s="33">
        <v>250</v>
      </c>
      <c r="E16" s="34">
        <v>3</v>
      </c>
      <c r="F16" s="33">
        <v>71</v>
      </c>
      <c r="G16" s="35">
        <v>347</v>
      </c>
      <c r="H16" s="32">
        <v>0</v>
      </c>
      <c r="I16" s="72">
        <f t="shared" si="1"/>
        <v>1026</v>
      </c>
      <c r="J16" s="55"/>
      <c r="M16" s="70"/>
    </row>
    <row r="17" spans="1:13">
      <c r="A17" s="57">
        <f t="shared" si="0"/>
        <v>10</v>
      </c>
      <c r="B17" s="71" t="s">
        <v>25</v>
      </c>
      <c r="C17" s="32">
        <v>355</v>
      </c>
      <c r="D17" s="33">
        <v>235</v>
      </c>
      <c r="E17" s="34">
        <v>2</v>
      </c>
      <c r="F17" s="33">
        <v>66</v>
      </c>
      <c r="G17" s="35">
        <v>347</v>
      </c>
      <c r="H17" s="32">
        <v>0</v>
      </c>
      <c r="I17" s="72">
        <f t="shared" si="1"/>
        <v>1005</v>
      </c>
      <c r="J17" s="55"/>
      <c r="M17" s="70"/>
    </row>
    <row r="18" spans="1:13">
      <c r="A18" s="57">
        <f t="shared" si="0"/>
        <v>11</v>
      </c>
      <c r="B18" s="71" t="s">
        <v>19</v>
      </c>
      <c r="C18" s="32">
        <v>332</v>
      </c>
      <c r="D18" s="33">
        <v>255</v>
      </c>
      <c r="E18" s="34">
        <v>2</v>
      </c>
      <c r="F18" s="33">
        <v>69</v>
      </c>
      <c r="G18" s="35">
        <v>347</v>
      </c>
      <c r="H18" s="32">
        <v>0</v>
      </c>
      <c r="I18" s="72">
        <f t="shared" si="1"/>
        <v>1005</v>
      </c>
      <c r="J18" s="55"/>
      <c r="M18" s="70"/>
    </row>
    <row r="19" spans="1:13">
      <c r="A19" s="57">
        <f t="shared" si="0"/>
        <v>12</v>
      </c>
      <c r="B19" s="71" t="s">
        <v>26</v>
      </c>
      <c r="C19" s="32">
        <v>349</v>
      </c>
      <c r="D19" s="33">
        <v>249</v>
      </c>
      <c r="E19" s="34">
        <v>2</v>
      </c>
      <c r="F19" s="33">
        <v>69</v>
      </c>
      <c r="G19" s="35">
        <v>347</v>
      </c>
      <c r="H19" s="32">
        <v>0</v>
      </c>
      <c r="I19" s="72">
        <f t="shared" si="1"/>
        <v>1016</v>
      </c>
      <c r="J19" s="55"/>
      <c r="M19" s="70"/>
    </row>
    <row r="20" spans="1:13">
      <c r="A20" s="57">
        <f t="shared" si="0"/>
        <v>13</v>
      </c>
      <c r="B20" s="71" t="s">
        <v>20</v>
      </c>
      <c r="C20" s="32">
        <v>253</v>
      </c>
      <c r="D20" s="33">
        <v>253</v>
      </c>
      <c r="E20" s="34">
        <v>2</v>
      </c>
      <c r="F20" s="33">
        <v>43</v>
      </c>
      <c r="G20" s="35">
        <v>347</v>
      </c>
      <c r="H20" s="32">
        <v>0</v>
      </c>
      <c r="I20" s="72">
        <f t="shared" si="1"/>
        <v>898</v>
      </c>
      <c r="J20" s="55"/>
      <c r="M20" s="70"/>
    </row>
    <row r="21" spans="1:13">
      <c r="A21" s="57">
        <f t="shared" si="0"/>
        <v>14</v>
      </c>
      <c r="B21" s="71" t="s">
        <v>21</v>
      </c>
      <c r="C21" s="32">
        <v>276</v>
      </c>
      <c r="D21" s="33">
        <v>349</v>
      </c>
      <c r="E21" s="34">
        <v>2</v>
      </c>
      <c r="F21" s="33">
        <v>47</v>
      </c>
      <c r="G21" s="35">
        <v>347</v>
      </c>
      <c r="H21" s="32">
        <v>0</v>
      </c>
      <c r="I21" s="72">
        <f t="shared" si="1"/>
        <v>1021</v>
      </c>
      <c r="J21" s="55"/>
      <c r="M21" s="70"/>
    </row>
    <row r="22" spans="1:13" ht="15" thickBot="1">
      <c r="A22" s="57">
        <f t="shared" si="0"/>
        <v>15</v>
      </c>
      <c r="B22" s="71" t="s">
        <v>27</v>
      </c>
      <c r="C22" s="36">
        <v>298</v>
      </c>
      <c r="D22" s="37">
        <v>279</v>
      </c>
      <c r="E22" s="38">
        <v>2</v>
      </c>
      <c r="F22" s="37">
        <v>48</v>
      </c>
      <c r="G22" s="38">
        <v>347</v>
      </c>
      <c r="H22" s="36">
        <v>0</v>
      </c>
      <c r="I22" s="73">
        <f t="shared" si="1"/>
        <v>974</v>
      </c>
      <c r="J22" s="55"/>
      <c r="M22" s="70"/>
    </row>
    <row r="23" spans="1:13" ht="15" thickBot="1">
      <c r="A23" s="57">
        <f t="shared" si="0"/>
        <v>16</v>
      </c>
      <c r="B23" s="74"/>
      <c r="C23" s="75"/>
      <c r="D23" s="75"/>
      <c r="E23" s="75"/>
      <c r="F23" s="76"/>
      <c r="G23" s="77"/>
      <c r="H23" s="78"/>
      <c r="I23" s="79"/>
      <c r="J23" s="55"/>
      <c r="M23" s="70"/>
    </row>
    <row r="24" spans="1:13" ht="15" thickBot="1">
      <c r="A24" s="57">
        <f t="shared" si="0"/>
        <v>17</v>
      </c>
      <c r="B24" s="80" t="s">
        <v>16</v>
      </c>
      <c r="C24" s="79">
        <f>SUM(C11:C22)/12</f>
        <v>294.08333333333331</v>
      </c>
      <c r="D24" s="79">
        <f t="shared" ref="D24:I24" si="2">SUM(D11:D22)/12</f>
        <v>268</v>
      </c>
      <c r="E24" s="79">
        <f t="shared" si="2"/>
        <v>2.0833333333333335</v>
      </c>
      <c r="F24" s="79">
        <f t="shared" si="2"/>
        <v>53.166666666666664</v>
      </c>
      <c r="G24" s="79">
        <f t="shared" si="2"/>
        <v>347</v>
      </c>
      <c r="H24" s="79">
        <f t="shared" si="2"/>
        <v>0</v>
      </c>
      <c r="I24" s="79">
        <f t="shared" si="2"/>
        <v>964.33333333333337</v>
      </c>
      <c r="J24" s="55"/>
      <c r="M24" s="70"/>
    </row>
    <row r="25" spans="1:13">
      <c r="A25" s="57">
        <f t="shared" si="0"/>
        <v>18</v>
      </c>
      <c r="B25" s="55"/>
      <c r="C25" s="55"/>
      <c r="D25" s="55"/>
      <c r="E25" s="55"/>
      <c r="F25" s="55"/>
      <c r="G25" s="55"/>
      <c r="H25" s="55"/>
      <c r="I25" s="55"/>
      <c r="J25" s="55"/>
    </row>
    <row r="26" spans="1:13" ht="15">
      <c r="A26" s="57">
        <f t="shared" si="0"/>
        <v>19</v>
      </c>
      <c r="B26" s="44"/>
      <c r="C26" s="47"/>
      <c r="D26" s="45"/>
      <c r="E26" s="40"/>
      <c r="F26" s="45"/>
      <c r="G26" s="45"/>
      <c r="H26" s="45"/>
      <c r="I26" s="45"/>
      <c r="J26" s="55"/>
    </row>
    <row r="27" spans="1:13" ht="17.25">
      <c r="A27" s="57">
        <f t="shared" si="0"/>
        <v>20</v>
      </c>
      <c r="B27" s="49"/>
      <c r="C27" s="51" t="s">
        <v>121</v>
      </c>
      <c r="D27" s="52"/>
      <c r="E27" s="52"/>
      <c r="F27" s="52"/>
      <c r="G27" s="53"/>
      <c r="H27" s="50"/>
      <c r="I27" s="54"/>
      <c r="J27" s="55"/>
    </row>
    <row r="28" spans="1:13" ht="15" thickBot="1">
      <c r="A28" s="57">
        <f t="shared" si="0"/>
        <v>21</v>
      </c>
      <c r="B28" s="54"/>
      <c r="C28" s="54"/>
      <c r="D28" s="54"/>
      <c r="E28" s="54"/>
      <c r="F28" s="54"/>
      <c r="G28" s="54"/>
      <c r="H28" s="54"/>
      <c r="I28" s="54"/>
      <c r="J28" s="55"/>
    </row>
    <row r="29" spans="1:13">
      <c r="A29" s="57">
        <f t="shared" si="0"/>
        <v>22</v>
      </c>
      <c r="B29" s="58"/>
      <c r="C29" s="60" t="s">
        <v>6</v>
      </c>
      <c r="D29" s="60" t="s">
        <v>8</v>
      </c>
      <c r="E29" s="60" t="s">
        <v>9</v>
      </c>
      <c r="F29" s="59" t="s">
        <v>10</v>
      </c>
      <c r="G29" s="60" t="s">
        <v>17</v>
      </c>
      <c r="H29" s="60" t="s">
        <v>37</v>
      </c>
      <c r="I29" s="60" t="s">
        <v>4</v>
      </c>
      <c r="J29" s="55"/>
    </row>
    <row r="30" spans="1:13">
      <c r="A30" s="57">
        <f t="shared" si="0"/>
        <v>23</v>
      </c>
      <c r="B30" s="61"/>
      <c r="C30" s="63" t="s">
        <v>4</v>
      </c>
      <c r="D30" s="63" t="s">
        <v>4</v>
      </c>
      <c r="E30" s="63" t="s">
        <v>11</v>
      </c>
      <c r="F30" s="62" t="s">
        <v>12</v>
      </c>
      <c r="G30" s="63" t="s">
        <v>18</v>
      </c>
      <c r="H30" s="63" t="s">
        <v>38</v>
      </c>
      <c r="I30" s="63" t="s">
        <v>14</v>
      </c>
      <c r="J30" s="55"/>
      <c r="K30" s="64"/>
    </row>
    <row r="31" spans="1:13" ht="15" thickBot="1">
      <c r="A31" s="57">
        <f t="shared" si="0"/>
        <v>24</v>
      </c>
      <c r="B31" s="65"/>
      <c r="C31" s="67" t="s">
        <v>13</v>
      </c>
      <c r="D31" s="67" t="s">
        <v>13</v>
      </c>
      <c r="E31" s="67" t="s">
        <v>13</v>
      </c>
      <c r="F31" s="66" t="s">
        <v>13</v>
      </c>
      <c r="G31" s="67" t="s">
        <v>13</v>
      </c>
      <c r="H31" s="67" t="s">
        <v>13</v>
      </c>
      <c r="I31" s="63" t="s">
        <v>15</v>
      </c>
      <c r="J31" s="55"/>
    </row>
    <row r="32" spans="1:13">
      <c r="A32" s="57">
        <f t="shared" si="0"/>
        <v>25</v>
      </c>
      <c r="B32" s="68" t="s">
        <v>22</v>
      </c>
      <c r="C32" s="81">
        <v>332</v>
      </c>
      <c r="D32" s="69">
        <v>305</v>
      </c>
      <c r="E32" s="82">
        <v>3</v>
      </c>
      <c r="F32" s="69">
        <v>74.283222413381125</v>
      </c>
      <c r="G32" s="83">
        <v>347</v>
      </c>
      <c r="H32" s="81">
        <v>0</v>
      </c>
      <c r="I32" s="69">
        <f>SUM(C32:H32)</f>
        <v>1061.2832224133813</v>
      </c>
      <c r="J32" s="55"/>
      <c r="L32" s="70"/>
    </row>
    <row r="33" spans="1:12">
      <c r="A33" s="57">
        <f t="shared" si="0"/>
        <v>26</v>
      </c>
      <c r="B33" s="71" t="s">
        <v>23</v>
      </c>
      <c r="C33" s="84">
        <v>320</v>
      </c>
      <c r="D33" s="72">
        <v>297</v>
      </c>
      <c r="E33" s="85">
        <v>3</v>
      </c>
      <c r="F33" s="72">
        <v>71.017332413381126</v>
      </c>
      <c r="G33" s="86">
        <v>347</v>
      </c>
      <c r="H33" s="84">
        <v>0</v>
      </c>
      <c r="I33" s="72">
        <f t="shared" ref="I33:I43" si="3">SUM(C33:H33)</f>
        <v>1038.0173324133812</v>
      </c>
      <c r="J33" s="55"/>
      <c r="L33" s="70"/>
    </row>
    <row r="34" spans="1:12">
      <c r="A34" s="57">
        <f t="shared" si="0"/>
        <v>27</v>
      </c>
      <c r="B34" s="71" t="s">
        <v>24</v>
      </c>
      <c r="C34" s="84">
        <v>300</v>
      </c>
      <c r="D34" s="72">
        <v>279</v>
      </c>
      <c r="E34" s="85">
        <v>3</v>
      </c>
      <c r="F34" s="72">
        <v>67.223692413381116</v>
      </c>
      <c r="G34" s="86">
        <v>347</v>
      </c>
      <c r="H34" s="84">
        <v>0</v>
      </c>
      <c r="I34" s="72">
        <f t="shared" si="3"/>
        <v>996.22369241338106</v>
      </c>
      <c r="J34" s="55"/>
      <c r="L34" s="70"/>
    </row>
    <row r="35" spans="1:12">
      <c r="A35" s="57">
        <f t="shared" si="0"/>
        <v>28</v>
      </c>
      <c r="B35" s="71" t="s">
        <v>28</v>
      </c>
      <c r="C35" s="84">
        <v>271</v>
      </c>
      <c r="D35" s="72">
        <v>263</v>
      </c>
      <c r="E35" s="85">
        <v>3</v>
      </c>
      <c r="F35" s="72">
        <v>60.14652241338112</v>
      </c>
      <c r="G35" s="86">
        <v>347</v>
      </c>
      <c r="H35" s="84">
        <v>0</v>
      </c>
      <c r="I35" s="72">
        <f t="shared" si="3"/>
        <v>944.14652241338115</v>
      </c>
      <c r="J35" s="55"/>
      <c r="L35" s="70"/>
    </row>
    <row r="36" spans="1:12">
      <c r="A36" s="57">
        <f t="shared" si="0"/>
        <v>29</v>
      </c>
      <c r="B36" s="71" t="s">
        <v>29</v>
      </c>
      <c r="C36" s="84">
        <v>280</v>
      </c>
      <c r="D36" s="72">
        <v>226</v>
      </c>
      <c r="E36" s="85">
        <v>3</v>
      </c>
      <c r="F36" s="72">
        <v>64.551512413381118</v>
      </c>
      <c r="G36" s="86">
        <v>347</v>
      </c>
      <c r="H36" s="84">
        <v>0</v>
      </c>
      <c r="I36" s="72">
        <f t="shared" si="3"/>
        <v>920.55151241338115</v>
      </c>
      <c r="J36" s="55"/>
      <c r="L36" s="70"/>
    </row>
    <row r="37" spans="1:12">
      <c r="A37" s="57">
        <f t="shared" si="0"/>
        <v>30</v>
      </c>
      <c r="B37" s="71" t="s">
        <v>30</v>
      </c>
      <c r="C37" s="84">
        <v>344</v>
      </c>
      <c r="D37" s="72">
        <v>223</v>
      </c>
      <c r="E37" s="85">
        <v>3</v>
      </c>
      <c r="F37" s="72">
        <v>78.315612413381118</v>
      </c>
      <c r="G37" s="86">
        <v>347</v>
      </c>
      <c r="H37" s="84">
        <v>0</v>
      </c>
      <c r="I37" s="72">
        <f t="shared" si="3"/>
        <v>995.31561241338113</v>
      </c>
      <c r="J37" s="55"/>
      <c r="L37" s="70"/>
    </row>
    <row r="38" spans="1:12">
      <c r="A38" s="57">
        <f t="shared" si="0"/>
        <v>31</v>
      </c>
      <c r="B38" s="71" t="s">
        <v>25</v>
      </c>
      <c r="C38" s="84">
        <v>379</v>
      </c>
      <c r="D38" s="72">
        <v>242</v>
      </c>
      <c r="E38" s="85">
        <v>3</v>
      </c>
      <c r="F38" s="72">
        <v>87.265542413381127</v>
      </c>
      <c r="G38" s="86">
        <v>347</v>
      </c>
      <c r="H38" s="84">
        <v>0</v>
      </c>
      <c r="I38" s="72">
        <f t="shared" si="3"/>
        <v>1058.2655424133811</v>
      </c>
      <c r="J38" s="55"/>
      <c r="L38" s="70"/>
    </row>
    <row r="39" spans="1:12">
      <c r="A39" s="57">
        <f t="shared" si="0"/>
        <v>32</v>
      </c>
      <c r="B39" s="71" t="s">
        <v>19</v>
      </c>
      <c r="C39" s="84">
        <v>364</v>
      </c>
      <c r="D39" s="72">
        <v>244</v>
      </c>
      <c r="E39" s="85">
        <v>3</v>
      </c>
      <c r="F39" s="72">
        <v>83.107072413381132</v>
      </c>
      <c r="G39" s="86">
        <v>347</v>
      </c>
      <c r="H39" s="84">
        <v>0</v>
      </c>
      <c r="I39" s="72">
        <f t="shared" si="3"/>
        <v>1041.107072413381</v>
      </c>
      <c r="J39" s="55"/>
      <c r="L39" s="70"/>
    </row>
    <row r="40" spans="1:12">
      <c r="A40" s="57">
        <f t="shared" si="0"/>
        <v>33</v>
      </c>
      <c r="B40" s="71" t="s">
        <v>26</v>
      </c>
      <c r="C40" s="84">
        <v>325</v>
      </c>
      <c r="D40" s="72">
        <v>233</v>
      </c>
      <c r="E40" s="85">
        <v>3</v>
      </c>
      <c r="F40" s="72">
        <v>76.054495746714451</v>
      </c>
      <c r="G40" s="86">
        <v>347</v>
      </c>
      <c r="H40" s="84">
        <v>0</v>
      </c>
      <c r="I40" s="72">
        <f t="shared" si="3"/>
        <v>984.05449574671445</v>
      </c>
      <c r="J40" s="55"/>
      <c r="L40" s="70"/>
    </row>
    <row r="41" spans="1:12">
      <c r="A41" s="57">
        <f t="shared" si="0"/>
        <v>34</v>
      </c>
      <c r="B41" s="71" t="s">
        <v>20</v>
      </c>
      <c r="C41" s="84">
        <v>278</v>
      </c>
      <c r="D41" s="72">
        <v>258</v>
      </c>
      <c r="E41" s="85">
        <v>3</v>
      </c>
      <c r="F41" s="72">
        <v>61.419502413381124</v>
      </c>
      <c r="G41" s="86">
        <v>347</v>
      </c>
      <c r="H41" s="84">
        <v>0</v>
      </c>
      <c r="I41" s="72">
        <f t="shared" si="3"/>
        <v>947.41950241338111</v>
      </c>
      <c r="J41" s="55"/>
      <c r="L41" s="70"/>
    </row>
    <row r="42" spans="1:12">
      <c r="A42" s="57">
        <f t="shared" si="0"/>
        <v>35</v>
      </c>
      <c r="B42" s="71" t="s">
        <v>21</v>
      </c>
      <c r="C42" s="84">
        <v>304</v>
      </c>
      <c r="D42" s="72">
        <v>274</v>
      </c>
      <c r="E42" s="85">
        <v>3</v>
      </c>
      <c r="F42" s="72">
        <v>70.515105746714454</v>
      </c>
      <c r="G42" s="86">
        <v>347</v>
      </c>
      <c r="H42" s="84">
        <v>0</v>
      </c>
      <c r="I42" s="72">
        <f t="shared" si="3"/>
        <v>998.51510574671443</v>
      </c>
      <c r="J42" s="55"/>
      <c r="L42" s="70"/>
    </row>
    <row r="43" spans="1:12" ht="15" thickBot="1">
      <c r="A43" s="57">
        <f t="shared" si="0"/>
        <v>36</v>
      </c>
      <c r="B43" s="71" t="s">
        <v>27</v>
      </c>
      <c r="C43" s="87">
        <v>326</v>
      </c>
      <c r="D43" s="73">
        <v>309</v>
      </c>
      <c r="E43" s="88">
        <v>3</v>
      </c>
      <c r="F43" s="73">
        <v>75.434392413381119</v>
      </c>
      <c r="G43" s="88">
        <v>347</v>
      </c>
      <c r="H43" s="87">
        <v>0</v>
      </c>
      <c r="I43" s="73">
        <f t="shared" si="3"/>
        <v>1060.4343924133811</v>
      </c>
      <c r="J43" s="55"/>
      <c r="L43" s="70"/>
    </row>
    <row r="44" spans="1:12" ht="15" thickBot="1">
      <c r="A44" s="57">
        <f t="shared" si="0"/>
        <v>37</v>
      </c>
      <c r="B44" s="89"/>
      <c r="C44" s="75"/>
      <c r="D44" s="75"/>
      <c r="E44" s="75"/>
      <c r="F44" s="76"/>
      <c r="G44" s="77"/>
      <c r="H44" s="78"/>
      <c r="I44" s="75"/>
      <c r="J44" s="55"/>
      <c r="L44" s="70"/>
    </row>
    <row r="45" spans="1:12" ht="15" thickBot="1">
      <c r="A45" s="57">
        <f t="shared" si="0"/>
        <v>38</v>
      </c>
      <c r="B45" s="80" t="s">
        <v>16</v>
      </c>
      <c r="C45" s="79">
        <f>SUM(C32:C43)/12</f>
        <v>318.58333333333331</v>
      </c>
      <c r="D45" s="79">
        <f t="shared" ref="D45:I45" si="4">SUM(D32:D43)/12</f>
        <v>262.75</v>
      </c>
      <c r="E45" s="79">
        <f t="shared" si="4"/>
        <v>3</v>
      </c>
      <c r="F45" s="79">
        <f t="shared" si="4"/>
        <v>72.444500468936681</v>
      </c>
      <c r="G45" s="79">
        <f t="shared" si="4"/>
        <v>347</v>
      </c>
      <c r="H45" s="79">
        <f t="shared" si="4"/>
        <v>0</v>
      </c>
      <c r="I45" s="79">
        <f t="shared" si="4"/>
        <v>1003.7778338022698</v>
      </c>
      <c r="J45" s="55"/>
      <c r="L45" s="70"/>
    </row>
    <row r="46" spans="1:12">
      <c r="A46" s="57">
        <f t="shared" si="0"/>
        <v>39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12">
      <c r="A47" s="57">
        <f t="shared" si="0"/>
        <v>40</v>
      </c>
    </row>
    <row r="48" spans="1:12" ht="15">
      <c r="A48" s="57">
        <f t="shared" si="0"/>
        <v>41</v>
      </c>
      <c r="B48" s="49"/>
      <c r="C48" s="51" t="s">
        <v>122</v>
      </c>
      <c r="D48" s="52"/>
      <c r="E48" s="52"/>
      <c r="F48" s="52"/>
      <c r="G48" s="53"/>
      <c r="H48" s="50"/>
      <c r="I48" s="54"/>
    </row>
    <row r="49" spans="1:9" ht="15" thickBot="1">
      <c r="A49" s="57">
        <f t="shared" si="0"/>
        <v>42</v>
      </c>
      <c r="B49" s="54"/>
      <c r="C49" s="54"/>
      <c r="D49" s="54"/>
      <c r="E49" s="54"/>
      <c r="F49" s="54"/>
      <c r="G49" s="54"/>
      <c r="H49" s="54"/>
      <c r="I49" s="54"/>
    </row>
    <row r="50" spans="1:9" ht="15" customHeight="1">
      <c r="A50" s="57">
        <f t="shared" si="0"/>
        <v>43</v>
      </c>
      <c r="B50" s="58"/>
      <c r="C50" s="60" t="s">
        <v>6</v>
      </c>
      <c r="D50" s="60" t="s">
        <v>8</v>
      </c>
      <c r="E50" s="60" t="s">
        <v>9</v>
      </c>
      <c r="F50" s="59" t="s">
        <v>10</v>
      </c>
      <c r="G50" s="60" t="s">
        <v>17</v>
      </c>
      <c r="H50" s="60" t="s">
        <v>37</v>
      </c>
      <c r="I50" s="60" t="s">
        <v>4</v>
      </c>
    </row>
    <row r="51" spans="1:9" ht="15" customHeight="1">
      <c r="A51" s="57">
        <f t="shared" si="0"/>
        <v>44</v>
      </c>
      <c r="B51" s="61"/>
      <c r="C51" s="63" t="s">
        <v>4</v>
      </c>
      <c r="D51" s="63" t="s">
        <v>4</v>
      </c>
      <c r="E51" s="63" t="s">
        <v>11</v>
      </c>
      <c r="F51" s="62" t="s">
        <v>12</v>
      </c>
      <c r="G51" s="63" t="s">
        <v>18</v>
      </c>
      <c r="H51" s="63" t="s">
        <v>38</v>
      </c>
      <c r="I51" s="63" t="s">
        <v>14</v>
      </c>
    </row>
    <row r="52" spans="1:9" ht="15" customHeight="1" thickBot="1">
      <c r="A52" s="57">
        <f t="shared" si="0"/>
        <v>45</v>
      </c>
      <c r="B52" s="65"/>
      <c r="C52" s="67" t="s">
        <v>13</v>
      </c>
      <c r="D52" s="67" t="s">
        <v>13</v>
      </c>
      <c r="E52" s="67" t="s">
        <v>13</v>
      </c>
      <c r="F52" s="66" t="s">
        <v>13</v>
      </c>
      <c r="G52" s="67" t="s">
        <v>13</v>
      </c>
      <c r="H52" s="67" t="s">
        <v>13</v>
      </c>
      <c r="I52" s="63" t="s">
        <v>15</v>
      </c>
    </row>
    <row r="53" spans="1:9" ht="15" customHeight="1">
      <c r="A53" s="57">
        <f t="shared" si="0"/>
        <v>46</v>
      </c>
      <c r="B53" s="71" t="s">
        <v>22</v>
      </c>
      <c r="C53" s="91">
        <f t="shared" ref="C53:I54" si="5">C11-C32</f>
        <v>-7</v>
      </c>
      <c r="D53" s="91">
        <f t="shared" si="5"/>
        <v>3</v>
      </c>
      <c r="E53" s="91">
        <f t="shared" si="5"/>
        <v>-1</v>
      </c>
      <c r="F53" s="91">
        <f t="shared" si="5"/>
        <v>-11.283222413381125</v>
      </c>
      <c r="G53" s="91">
        <f t="shared" si="5"/>
        <v>0</v>
      </c>
      <c r="H53" s="91">
        <f t="shared" si="5"/>
        <v>0</v>
      </c>
      <c r="I53" s="91">
        <f>I11-I32</f>
        <v>-16.283222413381282</v>
      </c>
    </row>
    <row r="54" spans="1:9" ht="15" customHeight="1">
      <c r="A54" s="57">
        <f t="shared" si="0"/>
        <v>47</v>
      </c>
      <c r="B54" s="71" t="s">
        <v>23</v>
      </c>
      <c r="C54" s="92">
        <f t="shared" si="5"/>
        <v>-34</v>
      </c>
      <c r="D54" s="92">
        <f t="shared" si="5"/>
        <v>4</v>
      </c>
      <c r="E54" s="92">
        <f t="shared" si="5"/>
        <v>-1</v>
      </c>
      <c r="F54" s="92">
        <f t="shared" si="5"/>
        <v>-21.017332413381126</v>
      </c>
      <c r="G54" s="92">
        <f t="shared" si="5"/>
        <v>0</v>
      </c>
      <c r="H54" s="92">
        <f t="shared" si="5"/>
        <v>0</v>
      </c>
      <c r="I54" s="92">
        <f t="shared" si="5"/>
        <v>-52.017332413381155</v>
      </c>
    </row>
    <row r="55" spans="1:9" ht="15" customHeight="1">
      <c r="A55" s="57">
        <f t="shared" si="0"/>
        <v>48</v>
      </c>
      <c r="B55" s="71" t="s">
        <v>24</v>
      </c>
      <c r="C55" s="92">
        <f t="shared" ref="C55:C64" si="6">C13-C34</f>
        <v>-34</v>
      </c>
      <c r="D55" s="92">
        <f t="shared" ref="D55:I55" si="7">D13-D34</f>
        <v>-6</v>
      </c>
      <c r="E55" s="92">
        <f t="shared" si="7"/>
        <v>-1</v>
      </c>
      <c r="F55" s="92">
        <f t="shared" si="7"/>
        <v>-24.223692413381116</v>
      </c>
      <c r="G55" s="92">
        <f t="shared" si="7"/>
        <v>0</v>
      </c>
      <c r="H55" s="92">
        <f t="shared" si="7"/>
        <v>0</v>
      </c>
      <c r="I55" s="92">
        <f t="shared" si="7"/>
        <v>-65.223692413381059</v>
      </c>
    </row>
    <row r="56" spans="1:9" ht="15" customHeight="1">
      <c r="A56" s="57">
        <f t="shared" si="0"/>
        <v>49</v>
      </c>
      <c r="B56" s="71" t="s">
        <v>28</v>
      </c>
      <c r="C56" s="92">
        <f t="shared" si="6"/>
        <v>-39</v>
      </c>
      <c r="D56" s="92">
        <f t="shared" ref="D56:I56" si="8">D14-D35</f>
        <v>-35</v>
      </c>
      <c r="E56" s="92">
        <f t="shared" si="8"/>
        <v>-1</v>
      </c>
      <c r="F56" s="92">
        <f t="shared" si="8"/>
        <v>-23.14652241338112</v>
      </c>
      <c r="G56" s="92">
        <f t="shared" si="8"/>
        <v>0</v>
      </c>
      <c r="H56" s="92">
        <f t="shared" si="8"/>
        <v>0</v>
      </c>
      <c r="I56" s="92">
        <f t="shared" si="8"/>
        <v>-98.146522413381149</v>
      </c>
    </row>
    <row r="57" spans="1:9" ht="15" customHeight="1">
      <c r="A57" s="57">
        <f t="shared" si="0"/>
        <v>50</v>
      </c>
      <c r="B57" s="71" t="s">
        <v>29</v>
      </c>
      <c r="C57" s="92">
        <f t="shared" si="6"/>
        <v>-78</v>
      </c>
      <c r="D57" s="92">
        <f t="shared" ref="D57:I57" si="9">D15-D36</f>
        <v>10</v>
      </c>
      <c r="E57" s="92">
        <f t="shared" si="9"/>
        <v>-1</v>
      </c>
      <c r="F57" s="92">
        <f t="shared" si="9"/>
        <v>-32.551512413381118</v>
      </c>
      <c r="G57" s="92">
        <f t="shared" si="9"/>
        <v>0</v>
      </c>
      <c r="H57" s="92">
        <f t="shared" si="9"/>
        <v>0</v>
      </c>
      <c r="I57" s="92">
        <f t="shared" si="9"/>
        <v>-101.55151241338115</v>
      </c>
    </row>
    <row r="58" spans="1:9" ht="15" customHeight="1">
      <c r="A58" s="57">
        <f t="shared" si="0"/>
        <v>51</v>
      </c>
      <c r="B58" s="71" t="s">
        <v>30</v>
      </c>
      <c r="C58" s="92">
        <f t="shared" si="6"/>
        <v>11</v>
      </c>
      <c r="D58" s="92">
        <f t="shared" ref="D58:I58" si="10">D16-D37</f>
        <v>27</v>
      </c>
      <c r="E58" s="92">
        <f t="shared" si="10"/>
        <v>0</v>
      </c>
      <c r="F58" s="92">
        <f t="shared" si="10"/>
        <v>-7.3156124133811176</v>
      </c>
      <c r="G58" s="92">
        <f t="shared" si="10"/>
        <v>0</v>
      </c>
      <c r="H58" s="92">
        <f t="shared" si="10"/>
        <v>0</v>
      </c>
      <c r="I58" s="92">
        <f t="shared" si="10"/>
        <v>30.684387586618868</v>
      </c>
    </row>
    <row r="59" spans="1:9" ht="15" customHeight="1">
      <c r="A59" s="57">
        <f t="shared" si="0"/>
        <v>52</v>
      </c>
      <c r="B59" s="71" t="s">
        <v>25</v>
      </c>
      <c r="C59" s="92">
        <f t="shared" si="6"/>
        <v>-24</v>
      </c>
      <c r="D59" s="92">
        <f t="shared" ref="D59:I59" si="11">D17-D38</f>
        <v>-7</v>
      </c>
      <c r="E59" s="92">
        <f t="shared" si="11"/>
        <v>-1</v>
      </c>
      <c r="F59" s="92">
        <f t="shared" si="11"/>
        <v>-21.265542413381127</v>
      </c>
      <c r="G59" s="92">
        <f t="shared" si="11"/>
        <v>0</v>
      </c>
      <c r="H59" s="92">
        <f t="shared" si="11"/>
        <v>0</v>
      </c>
      <c r="I59" s="92">
        <f t="shared" si="11"/>
        <v>-53.265542413381127</v>
      </c>
    </row>
    <row r="60" spans="1:9" ht="15" customHeight="1">
      <c r="A60" s="57">
        <f t="shared" si="0"/>
        <v>53</v>
      </c>
      <c r="B60" s="71" t="s">
        <v>19</v>
      </c>
      <c r="C60" s="92">
        <f t="shared" si="6"/>
        <v>-32</v>
      </c>
      <c r="D60" s="92">
        <f t="shared" ref="D60:I60" si="12">D18-D39</f>
        <v>11</v>
      </c>
      <c r="E60" s="92">
        <f t="shared" si="12"/>
        <v>-1</v>
      </c>
      <c r="F60" s="92">
        <f t="shared" si="12"/>
        <v>-14.107072413381132</v>
      </c>
      <c r="G60" s="92">
        <f t="shared" si="12"/>
        <v>0</v>
      </c>
      <c r="H60" s="92">
        <f t="shared" si="12"/>
        <v>0</v>
      </c>
      <c r="I60" s="92">
        <f t="shared" si="12"/>
        <v>-36.107072413381047</v>
      </c>
    </row>
    <row r="61" spans="1:9" ht="15" customHeight="1">
      <c r="A61" s="57">
        <f t="shared" si="0"/>
        <v>54</v>
      </c>
      <c r="B61" s="71" t="s">
        <v>26</v>
      </c>
      <c r="C61" s="92">
        <f t="shared" si="6"/>
        <v>24</v>
      </c>
      <c r="D61" s="92">
        <f t="shared" ref="D61:I61" si="13">D19-D40</f>
        <v>16</v>
      </c>
      <c r="E61" s="92">
        <f t="shared" si="13"/>
        <v>-1</v>
      </c>
      <c r="F61" s="92">
        <f t="shared" si="13"/>
        <v>-7.0544957467144513</v>
      </c>
      <c r="G61" s="92">
        <f t="shared" si="13"/>
        <v>0</v>
      </c>
      <c r="H61" s="92">
        <f t="shared" si="13"/>
        <v>0</v>
      </c>
      <c r="I61" s="92">
        <f t="shared" si="13"/>
        <v>31.945504253285549</v>
      </c>
    </row>
    <row r="62" spans="1:9" ht="15" customHeight="1">
      <c r="A62" s="57">
        <f t="shared" si="0"/>
        <v>55</v>
      </c>
      <c r="B62" s="71" t="s">
        <v>20</v>
      </c>
      <c r="C62" s="92">
        <f t="shared" si="6"/>
        <v>-25</v>
      </c>
      <c r="D62" s="92">
        <f t="shared" ref="D62:I64" si="14">D20-D41</f>
        <v>-5</v>
      </c>
      <c r="E62" s="92">
        <f t="shared" si="14"/>
        <v>-1</v>
      </c>
      <c r="F62" s="92">
        <f t="shared" si="14"/>
        <v>-18.419502413381124</v>
      </c>
      <c r="G62" s="92">
        <f t="shared" si="14"/>
        <v>0</v>
      </c>
      <c r="H62" s="92">
        <f t="shared" si="14"/>
        <v>0</v>
      </c>
      <c r="I62" s="92">
        <f t="shared" si="14"/>
        <v>-49.41950241338111</v>
      </c>
    </row>
    <row r="63" spans="1:9" ht="15" customHeight="1">
      <c r="A63" s="57">
        <f t="shared" si="0"/>
        <v>56</v>
      </c>
      <c r="B63" s="71" t="s">
        <v>21</v>
      </c>
      <c r="C63" s="92">
        <f t="shared" si="6"/>
        <v>-28</v>
      </c>
      <c r="D63" s="92">
        <f t="shared" si="14"/>
        <v>75</v>
      </c>
      <c r="E63" s="92">
        <f t="shared" si="14"/>
        <v>-1</v>
      </c>
      <c r="F63" s="92">
        <f t="shared" si="14"/>
        <v>-23.515105746714454</v>
      </c>
      <c r="G63" s="92">
        <f t="shared" si="14"/>
        <v>0</v>
      </c>
      <c r="H63" s="92">
        <f t="shared" si="14"/>
        <v>0</v>
      </c>
      <c r="I63" s="92">
        <f t="shared" si="14"/>
        <v>22.484894253285574</v>
      </c>
    </row>
    <row r="64" spans="1:9" ht="15" customHeight="1">
      <c r="A64" s="57">
        <f t="shared" si="0"/>
        <v>57</v>
      </c>
      <c r="B64" s="71" t="s">
        <v>27</v>
      </c>
      <c r="C64" s="92">
        <f t="shared" si="6"/>
        <v>-28</v>
      </c>
      <c r="D64" s="92">
        <f t="shared" si="14"/>
        <v>-30</v>
      </c>
      <c r="E64" s="92">
        <f t="shared" si="14"/>
        <v>-1</v>
      </c>
      <c r="F64" s="92">
        <f t="shared" si="14"/>
        <v>-27.434392413381119</v>
      </c>
      <c r="G64" s="92">
        <f t="shared" si="14"/>
        <v>0</v>
      </c>
      <c r="H64" s="92">
        <f t="shared" si="14"/>
        <v>0</v>
      </c>
      <c r="I64" s="92">
        <f t="shared" si="14"/>
        <v>-86.434392413381147</v>
      </c>
    </row>
    <row r="65" spans="1:9" ht="15" customHeight="1" thickBot="1">
      <c r="A65" s="57">
        <f t="shared" si="0"/>
        <v>58</v>
      </c>
      <c r="B65" s="89"/>
      <c r="C65" s="93"/>
      <c r="D65" s="93"/>
      <c r="E65" s="93"/>
      <c r="F65" s="94"/>
      <c r="G65" s="95"/>
      <c r="H65" s="96"/>
      <c r="I65" s="93"/>
    </row>
    <row r="66" spans="1:9" ht="15" customHeight="1" thickBot="1">
      <c r="A66" s="57">
        <f t="shared" si="0"/>
        <v>59</v>
      </c>
      <c r="B66" s="80" t="s">
        <v>16</v>
      </c>
      <c r="C66" s="97">
        <f t="shared" ref="C66:H66" si="15">ROUND(AVERAGE(C53:C64),0)</f>
        <v>-25</v>
      </c>
      <c r="D66" s="97">
        <f t="shared" si="15"/>
        <v>5</v>
      </c>
      <c r="E66" s="97">
        <f t="shared" si="15"/>
        <v>-1</v>
      </c>
      <c r="F66" s="97">
        <f t="shared" si="15"/>
        <v>-19</v>
      </c>
      <c r="G66" s="97">
        <f t="shared" si="15"/>
        <v>0</v>
      </c>
      <c r="H66" s="97">
        <f t="shared" si="15"/>
        <v>0</v>
      </c>
      <c r="I66" s="97">
        <f>ROUND(AVERAGE(I53:I64),0)</f>
        <v>-39</v>
      </c>
    </row>
    <row r="67" spans="1:9">
      <c r="A67" s="57">
        <f t="shared" si="0"/>
        <v>60</v>
      </c>
    </row>
    <row r="68" spans="1:9">
      <c r="A68" s="57">
        <f t="shared" si="0"/>
        <v>61</v>
      </c>
      <c r="B68" s="90" t="s">
        <v>114</v>
      </c>
    </row>
    <row r="69" spans="1:9">
      <c r="A69" s="57">
        <f t="shared" si="0"/>
        <v>62</v>
      </c>
      <c r="B69" s="90" t="s">
        <v>115</v>
      </c>
    </row>
    <row r="74" spans="1:9">
      <c r="C74" s="70"/>
      <c r="D74" s="70"/>
      <c r="E74" s="70"/>
      <c r="F74" s="70"/>
      <c r="G74" s="70"/>
      <c r="H74" s="70"/>
      <c r="I74" s="70"/>
    </row>
    <row r="78" spans="1:9">
      <c r="C78" s="70"/>
      <c r="D78" s="70"/>
      <c r="E78" s="70"/>
      <c r="F78" s="70"/>
      <c r="G78" s="70"/>
      <c r="H78" s="70"/>
      <c r="I78" s="70"/>
    </row>
  </sheetData>
  <mergeCells count="5">
    <mergeCell ref="C48:G48"/>
    <mergeCell ref="C27:G27"/>
    <mergeCell ref="B3:H3"/>
    <mergeCell ref="B4:H4"/>
    <mergeCell ref="C6:G6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2"/>
  <sheetViews>
    <sheetView workbookViewId="0">
      <selection activeCell="M40" sqref="M40"/>
    </sheetView>
  </sheetViews>
  <sheetFormatPr defaultRowHeight="12.75"/>
  <cols>
    <col min="1" max="1" width="5" customWidth="1"/>
    <col min="2" max="2" width="14.140625" customWidth="1"/>
    <col min="3" max="3" width="9.5703125" bestFit="1" customWidth="1"/>
    <col min="4" max="4" width="10.140625" bestFit="1" customWidth="1"/>
    <col min="7" max="7" width="13.140625" customWidth="1"/>
    <col min="8" max="8" width="13" customWidth="1"/>
  </cols>
  <sheetData>
    <row r="1" spans="1:10">
      <c r="A1" s="11" t="s">
        <v>0</v>
      </c>
    </row>
    <row r="2" spans="1:10">
      <c r="A2" s="11" t="s">
        <v>1</v>
      </c>
      <c r="J2" s="1" t="str">
        <f>+'Under-Over Recovery'!J2</f>
        <v>Black Hills Power, Inc.</v>
      </c>
    </row>
    <row r="3" spans="1:10">
      <c r="A3" s="11" t="s">
        <v>2</v>
      </c>
      <c r="J3" s="1" t="str">
        <f>+'Under-Over Recovery'!J3</f>
        <v>May 31, 2025</v>
      </c>
    </row>
    <row r="7" spans="1:10">
      <c r="A7" s="2" t="s">
        <v>31</v>
      </c>
    </row>
    <row r="8" spans="1:10">
      <c r="A8" s="10" t="s">
        <v>32</v>
      </c>
    </row>
    <row r="9" spans="1:10">
      <c r="A9">
        <v>1</v>
      </c>
      <c r="B9" s="2" t="s">
        <v>61</v>
      </c>
    </row>
    <row r="11" spans="1:10">
      <c r="A11">
        <v>2</v>
      </c>
      <c r="B11" s="2" t="s">
        <v>105</v>
      </c>
    </row>
    <row r="12" spans="1:10">
      <c r="A12">
        <v>3</v>
      </c>
      <c r="B12" s="2" t="s">
        <v>87</v>
      </c>
    </row>
    <row r="13" spans="1:10">
      <c r="A13">
        <v>4</v>
      </c>
      <c r="B13" s="2" t="s">
        <v>88</v>
      </c>
    </row>
    <row r="14" spans="1:10">
      <c r="A14">
        <v>5</v>
      </c>
      <c r="B14" s="2" t="s">
        <v>89</v>
      </c>
    </row>
    <row r="15" spans="1:10">
      <c r="A15">
        <v>6</v>
      </c>
      <c r="B15" s="2" t="s">
        <v>90</v>
      </c>
    </row>
    <row r="16" spans="1:10">
      <c r="A16">
        <v>7</v>
      </c>
      <c r="B16" s="2" t="s">
        <v>91</v>
      </c>
    </row>
    <row r="17" spans="1:9">
      <c r="A17">
        <v>8</v>
      </c>
      <c r="B17" s="2" t="s">
        <v>92</v>
      </c>
    </row>
    <row r="18" spans="1:9">
      <c r="A18">
        <v>9</v>
      </c>
      <c r="B18" s="2" t="s">
        <v>93</v>
      </c>
    </row>
    <row r="19" spans="1:9">
      <c r="A19">
        <v>10</v>
      </c>
      <c r="B19" s="2" t="s">
        <v>94</v>
      </c>
    </row>
    <row r="20" spans="1:9">
      <c r="B20" s="2"/>
    </row>
    <row r="21" spans="1:9">
      <c r="A21">
        <v>11</v>
      </c>
      <c r="B21" s="2" t="s">
        <v>95</v>
      </c>
    </row>
    <row r="22" spans="1:9">
      <c r="A22">
        <f>+A21+1</f>
        <v>12</v>
      </c>
      <c r="B22" s="2" t="s">
        <v>96</v>
      </c>
    </row>
    <row r="23" spans="1:9">
      <c r="A23">
        <f t="shared" ref="A23:A28" si="0">+A22+1</f>
        <v>13</v>
      </c>
      <c r="B23" s="2" t="s">
        <v>97</v>
      </c>
    </row>
    <row r="24" spans="1:9">
      <c r="A24">
        <f t="shared" si="0"/>
        <v>14</v>
      </c>
      <c r="B24" s="2" t="s">
        <v>98</v>
      </c>
    </row>
    <row r="25" spans="1:9">
      <c r="A25">
        <f t="shared" si="0"/>
        <v>15</v>
      </c>
      <c r="B25" s="2" t="s">
        <v>99</v>
      </c>
    </row>
    <row r="26" spans="1:9">
      <c r="A26">
        <f t="shared" si="0"/>
        <v>16</v>
      </c>
      <c r="B26" s="2" t="s">
        <v>100</v>
      </c>
    </row>
    <row r="27" spans="1:9">
      <c r="A27">
        <f t="shared" si="0"/>
        <v>17</v>
      </c>
      <c r="B27" s="2" t="s">
        <v>101</v>
      </c>
    </row>
    <row r="28" spans="1:9">
      <c r="A28">
        <f t="shared" si="0"/>
        <v>18</v>
      </c>
      <c r="B28" s="2" t="s">
        <v>102</v>
      </c>
    </row>
    <row r="29" spans="1:9">
      <c r="B29" s="2"/>
    </row>
    <row r="30" spans="1:9">
      <c r="A30">
        <v>19</v>
      </c>
      <c r="B30" s="27" t="s">
        <v>125</v>
      </c>
      <c r="C30" s="27"/>
      <c r="D30" s="27"/>
      <c r="E30" s="27"/>
      <c r="F30" s="27"/>
      <c r="G30" s="27"/>
      <c r="H30" s="27"/>
    </row>
    <row r="31" spans="1:9" ht="38.25">
      <c r="A31">
        <f>+A30+1</f>
        <v>20</v>
      </c>
      <c r="B31" s="6" t="s">
        <v>39</v>
      </c>
      <c r="C31" s="25" t="s">
        <v>40</v>
      </c>
      <c r="D31" s="25"/>
      <c r="E31" s="25" t="s">
        <v>41</v>
      </c>
      <c r="F31" s="25"/>
      <c r="G31" s="8" t="s">
        <v>42</v>
      </c>
      <c r="H31" s="8" t="s">
        <v>43</v>
      </c>
      <c r="I31" s="8" t="s">
        <v>104</v>
      </c>
    </row>
    <row r="32" spans="1:9">
      <c r="A32">
        <f t="shared" ref="A32:A40" si="1">+A31+1</f>
        <v>21</v>
      </c>
      <c r="B32" s="5"/>
      <c r="C32" s="4" t="s">
        <v>44</v>
      </c>
      <c r="D32" s="4" t="s">
        <v>45</v>
      </c>
      <c r="E32" s="4" t="s">
        <v>44</v>
      </c>
      <c r="F32" s="4" t="s">
        <v>45</v>
      </c>
      <c r="G32" s="5"/>
      <c r="H32" s="5"/>
      <c r="I32" s="5"/>
    </row>
    <row r="33" spans="1:10">
      <c r="A33">
        <f t="shared" si="1"/>
        <v>22</v>
      </c>
      <c r="B33" s="7" t="s">
        <v>46</v>
      </c>
      <c r="C33" s="18">
        <f>ROUND('Sch. 2 - BHP'!H31,5)</f>
        <v>3.4000000000000002E-4</v>
      </c>
      <c r="D33" s="18">
        <f>ROUND('Sch. 2 - BHP'!H30,5)</f>
        <v>2.0000000000000001E-4</v>
      </c>
      <c r="E33" s="19">
        <f>ROUND('Sch. 2 - BHP'!H28,4)</f>
        <v>5.4999999999999997E-3</v>
      </c>
      <c r="F33" s="19">
        <f>ROUND('Sch. 2 - BHP'!H27,4)</f>
        <v>4.7000000000000002E-3</v>
      </c>
      <c r="G33" s="18">
        <f>ROUND('Sch. 2 - BHP'!H25,4)</f>
        <v>3.3099999999999997E-2</v>
      </c>
      <c r="H33" s="19">
        <f>ROUND('Sch. 2 - BHP'!H23,4)</f>
        <v>0.14349999999999999</v>
      </c>
      <c r="I33" s="19">
        <f>ROUND('Sch. 2 - BHP'!H21,4)</f>
        <v>1.7215</v>
      </c>
    </row>
    <row r="34" spans="1:10">
      <c r="A34">
        <f t="shared" si="1"/>
        <v>23</v>
      </c>
      <c r="B34" s="7" t="s">
        <v>47</v>
      </c>
      <c r="C34" s="18">
        <f>ROUND('Sch. 2 - Gillette'!H31,5)</f>
        <v>6.0000000000000002E-5</v>
      </c>
      <c r="D34" s="18">
        <f>ROUND('Sch. 2 - Gillette'!H30,5)</f>
        <v>4.0000000000000003E-5</v>
      </c>
      <c r="E34" s="19">
        <f>ROUND('Sch. 2 - Gillette'!H28,4)</f>
        <v>1E-3</v>
      </c>
      <c r="F34" s="19">
        <f>ROUND('Sch. 2 - Gillette'!H27,4)</f>
        <v>8.0000000000000004E-4</v>
      </c>
      <c r="G34" s="18">
        <f>ROUND('Sch. 2 - Gillette'!H25,4)</f>
        <v>5.8999999999999999E-3</v>
      </c>
      <c r="H34" s="19">
        <f>ROUND('Sch. 2 - Gillette'!H23,4)</f>
        <v>2.5600000000000001E-2</v>
      </c>
      <c r="I34" s="19">
        <f>ROUND('Sch. 2 - Gillette'!H21,4)</f>
        <v>0.30730000000000002</v>
      </c>
    </row>
    <row r="35" spans="1:10">
      <c r="A35">
        <f t="shared" si="1"/>
        <v>24</v>
      </c>
      <c r="B35" s="12" t="s">
        <v>48</v>
      </c>
      <c r="C35" s="18">
        <f>ROUND('Sch. 2 - CLFP'!H31,5)</f>
        <v>1.2E-4</v>
      </c>
      <c r="D35" s="18">
        <f>ROUND('Sch. 2 - CLFP'!H30,5)</f>
        <v>6.9999999999999994E-5</v>
      </c>
      <c r="E35" s="19">
        <f>ROUND('Sch. 2 - CLFP'!H28,4)</f>
        <v>2E-3</v>
      </c>
      <c r="F35" s="19">
        <f>ROUND('Sch. 2 - CLFP'!H27,4)</f>
        <v>1.6999999999999999E-3</v>
      </c>
      <c r="G35" s="18">
        <f>ROUND('Sch. 2 - CLFP'!H25,4)</f>
        <v>1.2E-2</v>
      </c>
      <c r="H35" s="19">
        <f>ROUND('Sch. 2 - CLFP'!H23,4)</f>
        <v>5.1900000000000002E-2</v>
      </c>
      <c r="I35" s="19">
        <f>ROUND('Sch. 2 - CLFP'!H21,4)</f>
        <v>0.62329999999999997</v>
      </c>
    </row>
    <row r="36" spans="1:10">
      <c r="A36">
        <f t="shared" si="1"/>
        <v>25</v>
      </c>
      <c r="B36" s="12" t="s">
        <v>69</v>
      </c>
      <c r="C36" s="18">
        <f>ROUND('Sch. 2 - BHW'!H31,5)</f>
        <v>5.0000000000000002E-5</v>
      </c>
      <c r="D36" s="18">
        <f>ROUND('Sch. 2 - BHW'!H30,5)</f>
        <v>3.0000000000000001E-5</v>
      </c>
      <c r="E36" s="19">
        <f>ROUND('Sch. 2 - BHW'!H28,4)</f>
        <v>8.9999999999999998E-4</v>
      </c>
      <c r="F36" s="19">
        <f>ROUND('Sch. 2 - BHW'!H27,4)</f>
        <v>6.9999999999999999E-4</v>
      </c>
      <c r="G36" s="18">
        <f>ROUND('Sch. 2 - BHW'!H25,4)</f>
        <v>5.1999999999999998E-3</v>
      </c>
      <c r="H36" s="19">
        <f>ROUND('Sch. 2 - BHW'!H23,4)</f>
        <v>2.2499999999999999E-2</v>
      </c>
      <c r="I36" s="19">
        <f>ROUND('Sch. 2 - BHW'!H21,4)</f>
        <v>0.27</v>
      </c>
    </row>
    <row r="37" spans="1:10">
      <c r="A37">
        <f t="shared" si="1"/>
        <v>26</v>
      </c>
      <c r="B37" s="12" t="s">
        <v>67</v>
      </c>
      <c r="C37" s="18">
        <f>ROUND('Sch. 2 - Basin'!H31,5)</f>
        <v>2.1000000000000001E-4</v>
      </c>
      <c r="D37" s="18">
        <f>ROUND('Sch. 2 - Basin'!H30,5)</f>
        <v>1.2E-4</v>
      </c>
      <c r="E37" s="19">
        <f>ROUND('Sch. 2 - Basin'!H28,4)</f>
        <v>3.3999999999999998E-3</v>
      </c>
      <c r="F37" s="19">
        <f>ROUND('Sch. 2 - Basin'!H27,4)</f>
        <v>2.8999999999999998E-3</v>
      </c>
      <c r="G37" s="18">
        <f>ROUND('Sch. 2 - Basin'!H25,4)</f>
        <v>2.06E-2</v>
      </c>
      <c r="H37" s="19">
        <f>ROUND('Sch. 2 - Basin'!H23,4)</f>
        <v>8.9399999999999993E-2</v>
      </c>
      <c r="I37" s="19">
        <f>ROUND('Sch. 2 - Basin'!H21,4)</f>
        <v>1.073</v>
      </c>
    </row>
    <row r="38" spans="1:10">
      <c r="A38">
        <f t="shared" si="1"/>
        <v>27</v>
      </c>
      <c r="B38" s="12" t="s">
        <v>68</v>
      </c>
      <c r="C38" s="18">
        <f>ROUND('Sch. 2 - WMPA'!H31,5)</f>
        <v>1.0000000000000001E-5</v>
      </c>
      <c r="D38" s="18">
        <f>ROUND('Sch. 2 - WMPA'!H30,5)</f>
        <v>1.0000000000000001E-5</v>
      </c>
      <c r="E38" s="19">
        <f>ROUND('Sch. 2 - WMPA'!H28,4)</f>
        <v>2.0000000000000001E-4</v>
      </c>
      <c r="F38" s="19">
        <f>ROUND('Sch. 2 - WMPA'!H27,4)</f>
        <v>2.0000000000000001E-4</v>
      </c>
      <c r="G38" s="18">
        <f>ROUND('Sch. 2 - WMPA'!H25,4)</f>
        <v>1.2999999999999999E-3</v>
      </c>
      <c r="H38" s="19">
        <f>ROUND('Sch. 2 - WMPA'!H23,4)</f>
        <v>5.7999999999999996E-3</v>
      </c>
      <c r="I38" s="19">
        <f>ROUND('Sch. 2 - WMPA'!H21,4)</f>
        <v>6.9199999999999998E-2</v>
      </c>
    </row>
    <row r="39" spans="1:10">
      <c r="A39">
        <f t="shared" si="1"/>
        <v>28</v>
      </c>
      <c r="B39" s="102" t="s">
        <v>49</v>
      </c>
      <c r="C39" s="100">
        <f t="shared" ref="C39:H39" si="2">SUM(C33:C38)</f>
        <v>7.9000000000000012E-4</v>
      </c>
      <c r="D39" s="100">
        <f t="shared" si="2"/>
        <v>4.7000000000000004E-4</v>
      </c>
      <c r="E39" s="101">
        <f t="shared" si="2"/>
        <v>1.3000000000000001E-2</v>
      </c>
      <c r="F39" s="101">
        <f t="shared" si="2"/>
        <v>1.1000000000000001E-2</v>
      </c>
      <c r="G39" s="100">
        <f t="shared" si="2"/>
        <v>7.8100000000000003E-2</v>
      </c>
      <c r="H39" s="101">
        <f t="shared" si="2"/>
        <v>0.3387</v>
      </c>
      <c r="I39" s="101">
        <f>SUM(I33:I38)</f>
        <v>4.0643000000000002</v>
      </c>
    </row>
    <row r="40" spans="1:10">
      <c r="A40">
        <f t="shared" si="1"/>
        <v>29</v>
      </c>
      <c r="B40" s="98" t="s">
        <v>124</v>
      </c>
      <c r="D40" s="3">
        <f>'CUS AC LOADS'!I24*1000</f>
        <v>964333.33333333337</v>
      </c>
    </row>
    <row r="41" spans="1:10">
      <c r="B41" s="2"/>
      <c r="D41" s="3"/>
    </row>
    <row r="42" spans="1:10">
      <c r="A42">
        <v>30</v>
      </c>
      <c r="B42" s="99" t="s">
        <v>126</v>
      </c>
      <c r="C42" s="26"/>
      <c r="D42" s="26"/>
      <c r="E42" s="26"/>
      <c r="F42" s="26"/>
      <c r="G42" s="26"/>
      <c r="H42" s="26"/>
    </row>
    <row r="43" spans="1:10" ht="38.25">
      <c r="A43">
        <f>+A42+1</f>
        <v>31</v>
      </c>
      <c r="B43" s="6" t="s">
        <v>39</v>
      </c>
      <c r="C43" s="25" t="s">
        <v>40</v>
      </c>
      <c r="D43" s="25"/>
      <c r="E43" s="25" t="s">
        <v>41</v>
      </c>
      <c r="F43" s="25"/>
      <c r="G43" s="8" t="s">
        <v>42</v>
      </c>
      <c r="H43" s="8" t="s">
        <v>43</v>
      </c>
      <c r="I43" s="8" t="s">
        <v>104</v>
      </c>
    </row>
    <row r="44" spans="1:10">
      <c r="A44">
        <f t="shared" ref="A44:A52" si="3">+A43+1</f>
        <v>32</v>
      </c>
      <c r="B44" s="5"/>
      <c r="C44" s="4" t="s">
        <v>44</v>
      </c>
      <c r="D44" s="4" t="s">
        <v>45</v>
      </c>
      <c r="E44" s="4" t="s">
        <v>44</v>
      </c>
      <c r="F44" s="4" t="s">
        <v>45</v>
      </c>
      <c r="G44" s="5"/>
      <c r="H44" s="5"/>
      <c r="I44" s="5"/>
    </row>
    <row r="45" spans="1:10">
      <c r="A45">
        <f t="shared" si="3"/>
        <v>33</v>
      </c>
      <c r="B45" s="7" t="s">
        <v>46</v>
      </c>
      <c r="C45" s="18">
        <v>3.3E-4</v>
      </c>
      <c r="D45" s="18">
        <v>1.9000000000000001E-4</v>
      </c>
      <c r="E45" s="19">
        <v>5.3E-3</v>
      </c>
      <c r="F45" s="19">
        <v>4.4999999999999997E-3</v>
      </c>
      <c r="G45" s="19">
        <v>3.1800000000000002E-2</v>
      </c>
      <c r="H45" s="19">
        <v>0.13780000000000001</v>
      </c>
      <c r="I45" s="19">
        <v>1.6537999999999999</v>
      </c>
      <c r="J45" s="9"/>
    </row>
    <row r="46" spans="1:10">
      <c r="A46">
        <f t="shared" si="3"/>
        <v>34</v>
      </c>
      <c r="B46" s="7" t="s">
        <v>47</v>
      </c>
      <c r="C46" s="18">
        <v>6.0000000000000002E-5</v>
      </c>
      <c r="D46" s="18">
        <v>3.0000000000000001E-5</v>
      </c>
      <c r="E46" s="19">
        <v>8.9999999999999998E-4</v>
      </c>
      <c r="F46" s="19">
        <v>8.0000000000000004E-4</v>
      </c>
      <c r="G46" s="19">
        <v>5.7000000000000002E-3</v>
      </c>
      <c r="H46" s="19">
        <v>2.46E-2</v>
      </c>
      <c r="I46" s="19">
        <v>0.29520000000000002</v>
      </c>
    </row>
    <row r="47" spans="1:10">
      <c r="A47">
        <f t="shared" si="3"/>
        <v>35</v>
      </c>
      <c r="B47" s="12" t="s">
        <v>48</v>
      </c>
      <c r="C47" s="18">
        <v>1.2E-4</v>
      </c>
      <c r="D47" s="18">
        <v>6.9999999999999994E-5</v>
      </c>
      <c r="E47" s="19">
        <v>1.9E-3</v>
      </c>
      <c r="F47" s="19">
        <v>1.6000000000000001E-3</v>
      </c>
      <c r="G47" s="19">
        <v>1.15E-2</v>
      </c>
      <c r="H47" s="19">
        <v>4.99E-2</v>
      </c>
      <c r="I47" s="19">
        <v>0.5988</v>
      </c>
    </row>
    <row r="48" spans="1:10">
      <c r="A48">
        <f t="shared" si="3"/>
        <v>36</v>
      </c>
      <c r="B48" s="12" t="s">
        <v>69</v>
      </c>
      <c r="C48" s="18">
        <v>5.0000000000000002E-5</v>
      </c>
      <c r="D48" s="18">
        <v>3.0000000000000001E-5</v>
      </c>
      <c r="E48" s="19">
        <v>8.0000000000000004E-4</v>
      </c>
      <c r="F48" s="19">
        <v>6.9999999999999999E-4</v>
      </c>
      <c r="G48" s="19">
        <v>5.0000000000000001E-3</v>
      </c>
      <c r="H48" s="19">
        <v>2.1600000000000001E-2</v>
      </c>
      <c r="I48" s="19">
        <v>0.25940000000000002</v>
      </c>
    </row>
    <row r="49" spans="1:9">
      <c r="A49">
        <f t="shared" si="3"/>
        <v>37</v>
      </c>
      <c r="B49" s="12" t="s">
        <v>67</v>
      </c>
      <c r="C49" s="18">
        <v>2.1000000000000001E-4</v>
      </c>
      <c r="D49" s="18">
        <v>1.2E-4</v>
      </c>
      <c r="E49" s="19">
        <v>3.3E-3</v>
      </c>
      <c r="F49" s="19">
        <v>2.8E-3</v>
      </c>
      <c r="G49" s="19">
        <v>1.9800000000000002E-2</v>
      </c>
      <c r="H49" s="19">
        <v>8.5900000000000004E-2</v>
      </c>
      <c r="I49" s="19">
        <v>1.0307999999999999</v>
      </c>
    </row>
    <row r="50" spans="1:9">
      <c r="A50">
        <f t="shared" si="3"/>
        <v>38</v>
      </c>
      <c r="B50" s="12" t="s">
        <v>68</v>
      </c>
      <c r="C50" s="18">
        <v>1.0000000000000001E-5</v>
      </c>
      <c r="D50" s="18">
        <v>1.0000000000000001E-5</v>
      </c>
      <c r="E50" s="19">
        <v>2.0000000000000001E-4</v>
      </c>
      <c r="F50" s="19">
        <v>2.0000000000000001E-4</v>
      </c>
      <c r="G50" s="19">
        <v>1.2999999999999999E-3</v>
      </c>
      <c r="H50" s="19">
        <v>5.4999999999999997E-3</v>
      </c>
      <c r="I50" s="19">
        <v>6.6500000000000004E-2</v>
      </c>
    </row>
    <row r="51" spans="1:9">
      <c r="A51">
        <f t="shared" si="3"/>
        <v>39</v>
      </c>
      <c r="B51" s="102" t="s">
        <v>49</v>
      </c>
      <c r="C51" s="100">
        <f>SUM(C45:C50)</f>
        <v>7.8000000000000009E-4</v>
      </c>
      <c r="D51" s="100">
        <f t="shared" ref="D51:I51" si="4">SUM(D45:D50)</f>
        <v>4.5000000000000004E-4</v>
      </c>
      <c r="E51" s="101">
        <f t="shared" si="4"/>
        <v>1.24E-2</v>
      </c>
      <c r="F51" s="101">
        <f t="shared" si="4"/>
        <v>1.06E-2</v>
      </c>
      <c r="G51" s="101">
        <f t="shared" si="4"/>
        <v>7.51E-2</v>
      </c>
      <c r="H51" s="101">
        <f t="shared" si="4"/>
        <v>0.32530000000000003</v>
      </c>
      <c r="I51" s="101">
        <f t="shared" si="4"/>
        <v>3.9044999999999992</v>
      </c>
    </row>
    <row r="52" spans="1:9">
      <c r="A52">
        <f t="shared" si="3"/>
        <v>40</v>
      </c>
      <c r="B52" s="98" t="s">
        <v>127</v>
      </c>
      <c r="D52" s="3">
        <f>'CUS AC LOADS'!I45*1000</f>
        <v>1003777.8338022698</v>
      </c>
    </row>
    <row r="64" spans="1:9">
      <c r="C64" s="17"/>
      <c r="D64" s="17"/>
      <c r="E64" s="17"/>
      <c r="F64" s="17"/>
      <c r="G64" s="17"/>
      <c r="H64" s="17"/>
      <c r="I64" s="17"/>
    </row>
    <row r="65" spans="3:9">
      <c r="C65" s="17"/>
      <c r="D65" s="17"/>
      <c r="E65" s="17"/>
      <c r="F65" s="17"/>
      <c r="G65" s="17"/>
      <c r="H65" s="17"/>
      <c r="I65" s="17"/>
    </row>
    <row r="66" spans="3:9">
      <c r="C66" s="17"/>
      <c r="D66" s="17"/>
      <c r="E66" s="17"/>
      <c r="F66" s="17"/>
      <c r="G66" s="17"/>
      <c r="H66" s="17"/>
      <c r="I66" s="17"/>
    </row>
    <row r="67" spans="3:9">
      <c r="C67" s="17"/>
      <c r="D67" s="17"/>
      <c r="E67" s="17"/>
      <c r="F67" s="17"/>
      <c r="G67" s="17"/>
      <c r="H67" s="17"/>
      <c r="I67" s="17"/>
    </row>
    <row r="68" spans="3:9">
      <c r="C68" s="17"/>
      <c r="D68" s="17"/>
      <c r="E68" s="17"/>
      <c r="F68" s="17"/>
      <c r="G68" s="17"/>
      <c r="H68" s="17"/>
      <c r="I68" s="17"/>
    </row>
    <row r="69" spans="3:9">
      <c r="C69" s="17"/>
      <c r="D69" s="17"/>
      <c r="E69" s="17"/>
      <c r="F69" s="17"/>
      <c r="G69" s="17"/>
      <c r="H69" s="17"/>
      <c r="I69" s="17"/>
    </row>
    <row r="70" spans="3:9">
      <c r="C70" s="17"/>
      <c r="D70" s="17"/>
      <c r="E70" s="17"/>
      <c r="F70" s="17"/>
      <c r="G70" s="17"/>
      <c r="H70" s="17"/>
      <c r="I70" s="17"/>
    </row>
    <row r="71" spans="3:9">
      <c r="C71" s="17"/>
      <c r="D71" s="17"/>
      <c r="E71" s="17"/>
      <c r="F71" s="17"/>
      <c r="G71" s="17"/>
      <c r="H71" s="17"/>
      <c r="I71" s="17"/>
    </row>
    <row r="72" spans="3:9">
      <c r="C72" s="17"/>
    </row>
  </sheetData>
  <mergeCells count="6">
    <mergeCell ref="C43:D43"/>
    <mergeCell ref="E43:F43"/>
    <mergeCell ref="B42:H42"/>
    <mergeCell ref="B30:H30"/>
    <mergeCell ref="C31:D31"/>
    <mergeCell ref="E31:F31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4"/>
  <sheetViews>
    <sheetView workbookViewId="0">
      <selection activeCell="K17" sqref="K17"/>
    </sheetView>
  </sheetViews>
  <sheetFormatPr defaultRowHeight="14.25"/>
  <cols>
    <col min="1" max="1" width="6.140625" style="41" customWidth="1"/>
    <col min="2" max="6" width="9.140625" style="41"/>
    <col min="7" max="7" width="20" style="41" customWidth="1"/>
    <col min="8" max="8" width="11.140625" style="41" bestFit="1" customWidth="1"/>
    <col min="9" max="9" width="37.5703125" style="107" customWidth="1"/>
    <col min="10" max="10" width="20" style="41" customWidth="1"/>
    <col min="11" max="11" width="11.85546875" style="41" customWidth="1"/>
    <col min="12" max="12" width="10.140625" style="41" bestFit="1" customWidth="1"/>
    <col min="13" max="16384" width="9.140625" style="41"/>
  </cols>
  <sheetData>
    <row r="1" spans="1:16" ht="15">
      <c r="A1" s="103" t="s">
        <v>0</v>
      </c>
      <c r="B1" s="104"/>
      <c r="C1" s="104"/>
      <c r="D1" s="104"/>
      <c r="E1" s="104"/>
      <c r="F1" s="104"/>
      <c r="G1" s="104"/>
      <c r="H1" s="105"/>
      <c r="I1" s="106"/>
      <c r="J1" s="104"/>
      <c r="K1" s="104"/>
    </row>
    <row r="2" spans="1:16" ht="15">
      <c r="A2" s="103" t="s">
        <v>1</v>
      </c>
      <c r="B2" s="104"/>
      <c r="C2" s="104"/>
      <c r="D2" s="104"/>
      <c r="E2" s="104"/>
      <c r="F2" s="104"/>
      <c r="G2" s="104"/>
      <c r="H2" s="105"/>
      <c r="K2" s="108" t="str">
        <f>+'Under-Over Recovery'!J2</f>
        <v>Black Hills Power, Inc.</v>
      </c>
    </row>
    <row r="3" spans="1:16" ht="15">
      <c r="A3" s="103" t="s">
        <v>2</v>
      </c>
      <c r="B3" s="104"/>
      <c r="C3" s="104"/>
      <c r="D3" s="104"/>
      <c r="E3" s="104"/>
      <c r="F3" s="104"/>
      <c r="G3" s="104"/>
      <c r="H3" s="105"/>
      <c r="I3" s="106"/>
      <c r="J3" s="104"/>
      <c r="K3" s="108" t="str">
        <f>+'Under-Over Recovery'!J3</f>
        <v>May 31, 2025</v>
      </c>
    </row>
    <row r="4" spans="1:16" ht="15">
      <c r="A4" s="103"/>
      <c r="B4" s="104"/>
      <c r="C4" s="104"/>
      <c r="D4" s="104"/>
      <c r="E4" s="104"/>
      <c r="F4" s="104"/>
      <c r="G4" s="104"/>
      <c r="H4" s="105"/>
      <c r="I4" s="106"/>
      <c r="K4" s="108"/>
      <c r="P4" s="104"/>
    </row>
    <row r="5" spans="1:16" ht="15">
      <c r="A5" s="109"/>
      <c r="B5" s="109"/>
      <c r="C5" s="109"/>
      <c r="D5" s="109"/>
      <c r="E5" s="109"/>
      <c r="F5" s="109"/>
      <c r="G5" s="109"/>
      <c r="H5" s="109"/>
      <c r="I5" s="110"/>
      <c r="J5" s="109"/>
      <c r="K5" s="108"/>
    </row>
    <row r="6" spans="1:16">
      <c r="A6" s="109"/>
      <c r="B6" s="109"/>
      <c r="C6" s="109"/>
      <c r="D6" s="109"/>
      <c r="E6" s="109"/>
      <c r="F6" s="109"/>
      <c r="G6" s="109"/>
      <c r="H6" s="109"/>
      <c r="I6" s="110"/>
      <c r="J6" s="109"/>
      <c r="K6" s="109"/>
    </row>
    <row r="7" spans="1:16">
      <c r="A7" s="109"/>
      <c r="B7" s="109"/>
      <c r="C7" s="109"/>
      <c r="D7" s="109"/>
      <c r="E7" s="109"/>
      <c r="F7" s="109"/>
      <c r="G7" s="109"/>
      <c r="H7" s="109"/>
      <c r="I7" s="110"/>
      <c r="J7" s="109"/>
      <c r="K7" s="109"/>
    </row>
    <row r="8" spans="1:16">
      <c r="A8" s="111" t="s">
        <v>31</v>
      </c>
      <c r="B8" s="109"/>
      <c r="C8" s="109"/>
      <c r="D8" s="109"/>
      <c r="E8" s="109"/>
      <c r="F8" s="109"/>
      <c r="G8" s="109"/>
      <c r="H8" s="109"/>
      <c r="I8" s="110"/>
      <c r="J8" s="109"/>
      <c r="K8" s="109"/>
    </row>
    <row r="9" spans="1:16">
      <c r="A9" s="112" t="s">
        <v>32</v>
      </c>
      <c r="B9" s="113"/>
      <c r="C9" s="104"/>
      <c r="D9" s="114"/>
      <c r="E9" s="104"/>
      <c r="F9" s="104"/>
      <c r="G9" s="104"/>
      <c r="H9" s="109"/>
      <c r="I9" s="106"/>
      <c r="J9" s="104"/>
      <c r="K9" s="104"/>
    </row>
    <row r="10" spans="1:16">
      <c r="A10" s="115">
        <v>1</v>
      </c>
      <c r="B10" s="113" t="s">
        <v>60</v>
      </c>
      <c r="C10" s="104"/>
      <c r="D10" s="114"/>
      <c r="E10" s="104"/>
      <c r="F10" s="104"/>
      <c r="G10" s="104"/>
      <c r="H10" s="105">
        <f>+'Sch. 2 - Total'!H10</f>
        <v>1660052</v>
      </c>
      <c r="I10" s="106" t="s">
        <v>51</v>
      </c>
      <c r="J10" s="104"/>
      <c r="K10" s="104"/>
    </row>
    <row r="11" spans="1:16">
      <c r="A11" s="115">
        <f>A10+1</f>
        <v>2</v>
      </c>
      <c r="B11" s="113" t="s">
        <v>50</v>
      </c>
      <c r="C11" s="104"/>
      <c r="D11" s="114"/>
      <c r="E11" s="104"/>
      <c r="F11" s="104"/>
      <c r="G11" s="104"/>
      <c r="H11" s="105">
        <f>+'Sch. 2 - Total'!H11</f>
        <v>296353</v>
      </c>
      <c r="I11" s="106" t="s">
        <v>113</v>
      </c>
      <c r="J11" s="104"/>
      <c r="K11" s="104"/>
    </row>
    <row r="12" spans="1:16">
      <c r="A12" s="115">
        <f>A11+1</f>
        <v>3</v>
      </c>
      <c r="B12" s="113" t="s">
        <v>53</v>
      </c>
      <c r="C12" s="104"/>
      <c r="D12" s="114"/>
      <c r="E12" s="104"/>
      <c r="F12" s="104"/>
      <c r="G12" s="104"/>
      <c r="H12" s="105">
        <f>+'Sch. 2 - Total'!H12</f>
        <v>601062</v>
      </c>
      <c r="I12" s="106" t="s">
        <v>55</v>
      </c>
      <c r="J12" s="104"/>
      <c r="K12" s="104"/>
    </row>
    <row r="13" spans="1:16">
      <c r="A13" s="115">
        <f>A12+1</f>
        <v>4</v>
      </c>
      <c r="B13" s="113" t="s">
        <v>52</v>
      </c>
      <c r="C13" s="104"/>
      <c r="D13" s="114"/>
      <c r="E13" s="104"/>
      <c r="F13" s="104"/>
      <c r="G13" s="104"/>
      <c r="H13" s="105">
        <f>+'Sch. 2 - Total'!H13</f>
        <v>260384</v>
      </c>
      <c r="I13" s="106" t="s">
        <v>54</v>
      </c>
      <c r="J13" s="104"/>
      <c r="K13" s="104"/>
    </row>
    <row r="14" spans="1:16">
      <c r="A14" s="115">
        <v>5</v>
      </c>
      <c r="B14" s="113" t="s">
        <v>62</v>
      </c>
      <c r="C14" s="104"/>
      <c r="D14" s="114"/>
      <c r="E14" s="104"/>
      <c r="F14" s="104"/>
      <c r="G14" s="104"/>
      <c r="H14" s="105">
        <f>+'Sch. 2 - Total'!H14</f>
        <v>1034689</v>
      </c>
      <c r="I14" s="106" t="s">
        <v>103</v>
      </c>
      <c r="J14" s="104"/>
      <c r="K14" s="104"/>
    </row>
    <row r="15" spans="1:16">
      <c r="A15" s="115">
        <v>6</v>
      </c>
      <c r="B15" s="113" t="s">
        <v>63</v>
      </c>
      <c r="C15" s="104"/>
      <c r="D15" s="114"/>
      <c r="E15" s="104"/>
      <c r="F15" s="104"/>
      <c r="G15" s="104"/>
      <c r="H15" s="105">
        <f>+'Sch. 2 - Total'!H15</f>
        <v>66747</v>
      </c>
      <c r="I15" s="106" t="s">
        <v>103</v>
      </c>
      <c r="J15" s="104"/>
      <c r="K15" s="104"/>
    </row>
    <row r="16" spans="1:16">
      <c r="A16" s="109"/>
      <c r="B16" s="109"/>
      <c r="C16" s="109"/>
      <c r="D16" s="109"/>
      <c r="E16" s="109"/>
      <c r="F16" s="109"/>
      <c r="G16" s="109"/>
      <c r="H16" s="109"/>
      <c r="I16" s="110"/>
      <c r="J16" s="109"/>
      <c r="K16" s="109"/>
    </row>
    <row r="17" spans="1:12" ht="15" thickBot="1">
      <c r="A17" s="115">
        <v>7</v>
      </c>
      <c r="B17" s="116" t="s">
        <v>3</v>
      </c>
      <c r="C17" s="116"/>
      <c r="D17" s="116"/>
      <c r="E17" s="116"/>
      <c r="F17" s="116"/>
      <c r="G17" s="116"/>
      <c r="H17" s="117">
        <f>H10</f>
        <v>1660052</v>
      </c>
      <c r="I17" s="106" t="s">
        <v>57</v>
      </c>
      <c r="J17" s="105"/>
      <c r="K17" s="105"/>
    </row>
    <row r="18" spans="1:12">
      <c r="A18" s="115"/>
      <c r="B18" s="104"/>
      <c r="C18" s="104"/>
      <c r="D18" s="104"/>
      <c r="E18" s="104"/>
      <c r="F18" s="104"/>
      <c r="G18" s="104"/>
      <c r="H18" s="105"/>
      <c r="I18" s="106"/>
      <c r="J18" s="104"/>
      <c r="K18" s="104"/>
    </row>
    <row r="19" spans="1:12">
      <c r="A19" s="115">
        <f>A17+1</f>
        <v>8</v>
      </c>
      <c r="B19" s="104" t="s">
        <v>123</v>
      </c>
      <c r="C19" s="104"/>
      <c r="D19" s="104"/>
      <c r="E19" s="104"/>
      <c r="F19" s="104"/>
      <c r="G19" s="104"/>
      <c r="H19" s="118">
        <f>+'CUS AC LOADS'!I24*1000</f>
        <v>964333.33333333337</v>
      </c>
      <c r="I19" s="106" t="s">
        <v>64</v>
      </c>
      <c r="J19" s="132"/>
    </row>
    <row r="20" spans="1:12">
      <c r="A20" s="109"/>
      <c r="B20" s="109"/>
      <c r="C20" s="109"/>
      <c r="D20" s="109"/>
      <c r="E20" s="109"/>
      <c r="F20" s="109"/>
      <c r="G20" s="119"/>
      <c r="H20" s="109"/>
      <c r="I20" s="110"/>
      <c r="J20" s="109"/>
      <c r="K20" s="109"/>
    </row>
    <row r="21" spans="1:12">
      <c r="A21" s="115">
        <f>A19+1</f>
        <v>9</v>
      </c>
      <c r="B21" s="104" t="s">
        <v>5</v>
      </c>
      <c r="C21" s="104"/>
      <c r="D21" s="104"/>
      <c r="E21" s="104"/>
      <c r="F21" s="104"/>
      <c r="G21" s="104"/>
      <c r="H21" s="120">
        <f>H17/H19</f>
        <v>1.7214503975112339</v>
      </c>
      <c r="I21" s="106" t="s">
        <v>106</v>
      </c>
      <c r="J21" s="121"/>
      <c r="K21" s="109"/>
    </row>
    <row r="22" spans="1:12">
      <c r="A22" s="109"/>
      <c r="B22" s="109"/>
      <c r="C22" s="109"/>
      <c r="D22" s="109"/>
      <c r="E22" s="109"/>
      <c r="F22" s="109"/>
      <c r="G22" s="109"/>
      <c r="H22" s="122"/>
      <c r="I22" s="110"/>
      <c r="J22" s="123"/>
      <c r="K22" s="123"/>
      <c r="L22" s="124"/>
    </row>
    <row r="23" spans="1:12">
      <c r="A23" s="115">
        <f>A21+1</f>
        <v>10</v>
      </c>
      <c r="B23" s="104"/>
      <c r="C23" s="104"/>
      <c r="D23" s="104"/>
      <c r="E23" s="104"/>
      <c r="F23" s="104"/>
      <c r="G23" s="104"/>
      <c r="H23" s="120">
        <f>ROUND(H21/12,4)</f>
        <v>0.14349999999999999</v>
      </c>
      <c r="I23" s="106" t="s">
        <v>107</v>
      </c>
      <c r="J23" s="121"/>
      <c r="K23" s="123"/>
      <c r="L23" s="124"/>
    </row>
    <row r="24" spans="1:12">
      <c r="A24" s="109"/>
      <c r="B24" s="109"/>
      <c r="C24" s="109"/>
      <c r="D24" s="109"/>
      <c r="E24" s="109"/>
      <c r="F24" s="109"/>
      <c r="G24" s="109"/>
      <c r="H24" s="122"/>
      <c r="I24" s="110"/>
      <c r="J24" s="109"/>
      <c r="K24" s="109"/>
    </row>
    <row r="25" spans="1:12">
      <c r="A25" s="115">
        <f>A23+1</f>
        <v>11</v>
      </c>
      <c r="B25" s="104"/>
      <c r="C25" s="104"/>
      <c r="D25" s="104"/>
      <c r="E25" s="104"/>
      <c r="F25" s="125"/>
      <c r="G25" s="104"/>
      <c r="H25" s="120">
        <f>ROUND(H21/52,4)</f>
        <v>3.3099999999999997E-2</v>
      </c>
      <c r="I25" s="106" t="s">
        <v>108</v>
      </c>
      <c r="J25" s="121"/>
      <c r="K25" s="109"/>
    </row>
    <row r="26" spans="1:12">
      <c r="A26" s="109"/>
      <c r="B26" s="109"/>
      <c r="C26" s="109"/>
      <c r="D26" s="109"/>
      <c r="E26" s="109"/>
      <c r="F26" s="109"/>
      <c r="G26" s="109"/>
      <c r="H26" s="122"/>
      <c r="I26" s="110"/>
      <c r="J26" s="109"/>
      <c r="K26" s="109"/>
    </row>
    <row r="27" spans="1:12">
      <c r="A27" s="115">
        <f>A25+1</f>
        <v>12</v>
      </c>
      <c r="B27" s="104"/>
      <c r="C27" s="104"/>
      <c r="D27" s="104"/>
      <c r="E27" s="125"/>
      <c r="F27" s="104"/>
      <c r="G27" s="104"/>
      <c r="H27" s="120">
        <f>ROUND(H21/365,4)</f>
        <v>4.7000000000000002E-3</v>
      </c>
      <c r="I27" s="106" t="s">
        <v>109</v>
      </c>
      <c r="J27" s="121" t="s">
        <v>36</v>
      </c>
      <c r="K27" s="109"/>
    </row>
    <row r="28" spans="1:12">
      <c r="A28" s="115">
        <f>A27+1</f>
        <v>13</v>
      </c>
      <c r="B28" s="104"/>
      <c r="C28" s="104"/>
      <c r="D28" s="104"/>
      <c r="E28" s="125"/>
      <c r="F28" s="104"/>
      <c r="G28" s="104"/>
      <c r="H28" s="120">
        <f>ROUND(H21/312,4)</f>
        <v>5.4999999999999997E-3</v>
      </c>
      <c r="I28" s="106" t="s">
        <v>110</v>
      </c>
      <c r="J28" s="121" t="s">
        <v>117</v>
      </c>
      <c r="K28" s="109"/>
    </row>
    <row r="29" spans="1:12">
      <c r="A29" s="109"/>
      <c r="B29" s="109"/>
      <c r="C29" s="109"/>
      <c r="D29" s="109"/>
      <c r="E29" s="109"/>
      <c r="F29" s="109"/>
      <c r="G29" s="109"/>
      <c r="H29" s="109"/>
      <c r="I29" s="110"/>
      <c r="J29" s="109"/>
      <c r="K29" s="109"/>
    </row>
    <row r="30" spans="1:12">
      <c r="A30" s="115">
        <f>A28+1</f>
        <v>14</v>
      </c>
      <c r="B30" s="104"/>
      <c r="C30" s="104"/>
      <c r="D30" s="104"/>
      <c r="E30" s="104"/>
      <c r="F30" s="104"/>
      <c r="G30" s="104"/>
      <c r="H30" s="121">
        <f>ROUND((H21/8760),5)</f>
        <v>2.0000000000000001E-4</v>
      </c>
      <c r="I30" s="106" t="s">
        <v>111</v>
      </c>
      <c r="J30" s="121"/>
      <c r="K30" s="109"/>
    </row>
    <row r="31" spans="1:12">
      <c r="A31" s="115">
        <f>A30+1</f>
        <v>15</v>
      </c>
      <c r="B31" s="104"/>
      <c r="C31" s="104"/>
      <c r="D31" s="104"/>
      <c r="E31" s="104"/>
      <c r="F31" s="104"/>
      <c r="G31" s="104"/>
      <c r="H31" s="121">
        <f>ROUND((H21/4992),5)</f>
        <v>3.4000000000000002E-4</v>
      </c>
      <c r="I31" s="106" t="s">
        <v>112</v>
      </c>
      <c r="J31" s="121" t="s">
        <v>35</v>
      </c>
      <c r="K31" s="109"/>
    </row>
    <row r="32" spans="1:12">
      <c r="A32" s="109"/>
      <c r="B32" s="109"/>
      <c r="C32" s="109"/>
      <c r="D32" s="109"/>
      <c r="E32" s="109"/>
      <c r="F32" s="109"/>
      <c r="G32" s="109"/>
      <c r="H32" s="109"/>
      <c r="I32" s="110"/>
      <c r="J32" s="109"/>
      <c r="K32" s="109"/>
    </row>
    <row r="33" spans="1:11">
      <c r="A33" s="109"/>
      <c r="B33" s="109"/>
      <c r="C33" s="109"/>
      <c r="D33" s="109"/>
      <c r="E33" s="109"/>
      <c r="F33" s="109"/>
      <c r="G33" s="109"/>
      <c r="H33" s="109"/>
      <c r="I33" s="110"/>
      <c r="J33" s="109"/>
      <c r="K33" s="109"/>
    </row>
    <row r="34" spans="1:11">
      <c r="A34" s="109"/>
      <c r="B34" s="109"/>
      <c r="C34" s="109"/>
      <c r="D34" s="109"/>
      <c r="E34" s="109"/>
      <c r="F34" s="109"/>
      <c r="G34" s="109"/>
      <c r="I34" s="110"/>
      <c r="K34" s="109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4"/>
  <sheetViews>
    <sheetView workbookViewId="0">
      <selection activeCell="M6" sqref="M6"/>
    </sheetView>
  </sheetViews>
  <sheetFormatPr defaultRowHeight="14.25"/>
  <cols>
    <col min="1" max="1" width="4.85546875" style="41" customWidth="1"/>
    <col min="2" max="6" width="9.140625" style="41"/>
    <col min="7" max="7" width="15.42578125" style="41" customWidth="1"/>
    <col min="8" max="8" width="11.140625" style="41" bestFit="1" customWidth="1"/>
    <col min="9" max="9" width="37.140625" style="107" customWidth="1"/>
    <col min="10" max="10" width="19" style="41" customWidth="1"/>
    <col min="11" max="11" width="11.85546875" style="41" customWidth="1"/>
    <col min="12" max="12" width="10.140625" style="41" bestFit="1" customWidth="1"/>
    <col min="13" max="16384" width="9.140625" style="41"/>
  </cols>
  <sheetData>
    <row r="1" spans="1:16" ht="15">
      <c r="A1" s="103" t="s">
        <v>0</v>
      </c>
      <c r="B1" s="104"/>
      <c r="C1" s="104"/>
      <c r="D1" s="104"/>
      <c r="E1" s="104"/>
      <c r="F1" s="104"/>
      <c r="G1" s="104"/>
      <c r="H1" s="105"/>
      <c r="I1" s="106"/>
      <c r="J1" s="104"/>
      <c r="K1" s="104"/>
    </row>
    <row r="2" spans="1:16" ht="15">
      <c r="A2" s="103" t="s">
        <v>1</v>
      </c>
      <c r="B2" s="104"/>
      <c r="C2" s="104"/>
      <c r="D2" s="104"/>
      <c r="E2" s="104"/>
      <c r="F2" s="104"/>
      <c r="G2" s="104"/>
      <c r="H2" s="105"/>
      <c r="K2" s="108" t="str">
        <f>+'Under-Over Recovery'!J2</f>
        <v>Black Hills Power, Inc.</v>
      </c>
    </row>
    <row r="3" spans="1:16" ht="15">
      <c r="A3" s="103" t="s">
        <v>2</v>
      </c>
      <c r="B3" s="104"/>
      <c r="C3" s="104"/>
      <c r="D3" s="104"/>
      <c r="E3" s="104"/>
      <c r="F3" s="104"/>
      <c r="G3" s="104"/>
      <c r="H3" s="105"/>
      <c r="I3" s="106"/>
      <c r="J3" s="104"/>
      <c r="K3" s="108" t="str">
        <f>+'Under-Over Recovery'!J3</f>
        <v>May 31, 2025</v>
      </c>
    </row>
    <row r="4" spans="1:16" ht="15">
      <c r="A4" s="103"/>
      <c r="B4" s="104"/>
      <c r="C4" s="104"/>
      <c r="D4" s="104"/>
      <c r="E4" s="104"/>
      <c r="F4" s="104"/>
      <c r="G4" s="104"/>
      <c r="H4" s="105"/>
      <c r="I4" s="106"/>
      <c r="K4" s="104"/>
      <c r="P4" s="104"/>
    </row>
    <row r="5" spans="1:16">
      <c r="A5" s="129"/>
      <c r="B5" s="129"/>
      <c r="C5" s="129"/>
      <c r="D5" s="129"/>
      <c r="E5" s="129"/>
      <c r="F5" s="129"/>
      <c r="G5" s="129"/>
      <c r="H5" s="129"/>
      <c r="I5" s="130"/>
      <c r="J5" s="129"/>
      <c r="K5" s="129"/>
    </row>
    <row r="6" spans="1:16">
      <c r="A6" s="129"/>
      <c r="B6" s="129"/>
      <c r="C6" s="129"/>
      <c r="D6" s="129"/>
      <c r="E6" s="129"/>
      <c r="F6" s="129"/>
      <c r="G6" s="129"/>
      <c r="H6" s="129"/>
      <c r="I6" s="130"/>
      <c r="J6" s="129"/>
      <c r="K6" s="129"/>
    </row>
    <row r="7" spans="1:16">
      <c r="A7" s="129"/>
      <c r="B7" s="129"/>
      <c r="C7" s="129"/>
      <c r="D7" s="129"/>
      <c r="E7" s="129"/>
      <c r="F7" s="129"/>
      <c r="G7" s="129"/>
      <c r="H7" s="129"/>
      <c r="I7" s="130"/>
      <c r="J7" s="129"/>
      <c r="K7" s="129"/>
    </row>
    <row r="8" spans="1:16">
      <c r="A8" s="131" t="s">
        <v>31</v>
      </c>
      <c r="B8" s="129"/>
      <c r="C8" s="129"/>
      <c r="D8" s="129"/>
      <c r="E8" s="129"/>
      <c r="F8" s="129"/>
      <c r="G8" s="129"/>
      <c r="H8" s="129"/>
      <c r="I8" s="130"/>
      <c r="J8" s="129"/>
      <c r="K8" s="129"/>
    </row>
    <row r="9" spans="1:16">
      <c r="A9" s="112" t="s">
        <v>32</v>
      </c>
      <c r="B9" s="113"/>
      <c r="C9" s="104"/>
      <c r="D9" s="114"/>
      <c r="E9" s="104"/>
      <c r="F9" s="104"/>
      <c r="G9" s="104"/>
      <c r="H9" s="129"/>
      <c r="I9" s="106"/>
      <c r="J9" s="104"/>
      <c r="K9" s="104"/>
    </row>
    <row r="10" spans="1:16">
      <c r="A10" s="115">
        <v>1</v>
      </c>
      <c r="B10" s="113" t="s">
        <v>60</v>
      </c>
      <c r="C10" s="104"/>
      <c r="D10" s="114"/>
      <c r="E10" s="104"/>
      <c r="F10" s="104"/>
      <c r="G10" s="104"/>
      <c r="H10" s="105">
        <f>+'Sch. 2 - Total'!H10</f>
        <v>1660052</v>
      </c>
      <c r="I10" s="106" t="s">
        <v>51</v>
      </c>
      <c r="J10" s="104"/>
      <c r="K10" s="104"/>
    </row>
    <row r="11" spans="1:16">
      <c r="A11" s="115">
        <v>2</v>
      </c>
      <c r="B11" s="113" t="s">
        <v>50</v>
      </c>
      <c r="C11" s="104"/>
      <c r="D11" s="114"/>
      <c r="E11" s="104"/>
      <c r="F11" s="104"/>
      <c r="G11" s="104"/>
      <c r="H11" s="105">
        <f>+'Sch. 2 - Total'!H11</f>
        <v>296353</v>
      </c>
      <c r="I11" s="106" t="s">
        <v>113</v>
      </c>
      <c r="J11" s="104"/>
      <c r="K11" s="104"/>
    </row>
    <row r="12" spans="1:16">
      <c r="A12" s="115">
        <v>3</v>
      </c>
      <c r="B12" s="113" t="s">
        <v>53</v>
      </c>
      <c r="C12" s="104"/>
      <c r="D12" s="114"/>
      <c r="E12" s="104"/>
      <c r="F12" s="104"/>
      <c r="G12" s="104"/>
      <c r="H12" s="105">
        <f>+'Sch. 2 - Total'!H12</f>
        <v>601062</v>
      </c>
      <c r="I12" s="106" t="s">
        <v>55</v>
      </c>
      <c r="J12" s="104"/>
      <c r="K12" s="104"/>
    </row>
    <row r="13" spans="1:16">
      <c r="A13" s="115">
        <v>4</v>
      </c>
      <c r="B13" s="113" t="s">
        <v>52</v>
      </c>
      <c r="C13" s="104"/>
      <c r="D13" s="114"/>
      <c r="E13" s="104"/>
      <c r="F13" s="104"/>
      <c r="G13" s="104"/>
      <c r="H13" s="105">
        <f>+'Sch. 2 - Total'!H13</f>
        <v>260384</v>
      </c>
      <c r="I13" s="106" t="s">
        <v>54</v>
      </c>
      <c r="J13" s="104"/>
      <c r="K13" s="104"/>
    </row>
    <row r="14" spans="1:16">
      <c r="A14" s="115">
        <v>5</v>
      </c>
      <c r="B14" s="113" t="s">
        <v>62</v>
      </c>
      <c r="C14" s="104"/>
      <c r="D14" s="114"/>
      <c r="E14" s="104"/>
      <c r="F14" s="104"/>
      <c r="G14" s="104"/>
      <c r="H14" s="105">
        <f>+'Sch. 2 - Total'!H14</f>
        <v>1034689</v>
      </c>
      <c r="I14" s="106" t="s">
        <v>103</v>
      </c>
      <c r="J14" s="104"/>
      <c r="K14" s="104"/>
    </row>
    <row r="15" spans="1:16">
      <c r="A15" s="115">
        <v>6</v>
      </c>
      <c r="B15" s="113" t="s">
        <v>63</v>
      </c>
      <c r="C15" s="104"/>
      <c r="D15" s="114"/>
      <c r="E15" s="104"/>
      <c r="F15" s="104"/>
      <c r="G15" s="104"/>
      <c r="H15" s="105">
        <f>+'Sch. 2 - Total'!H15</f>
        <v>66747</v>
      </c>
      <c r="I15" s="106" t="s">
        <v>103</v>
      </c>
      <c r="J15" s="104"/>
      <c r="K15" s="104"/>
    </row>
    <row r="16" spans="1:16">
      <c r="A16" s="129"/>
      <c r="B16" s="129"/>
      <c r="C16" s="129"/>
      <c r="D16" s="129"/>
      <c r="E16" s="129"/>
      <c r="F16" s="129"/>
      <c r="G16" s="129"/>
      <c r="H16" s="129"/>
      <c r="I16" s="130"/>
      <c r="J16" s="129"/>
      <c r="K16" s="129"/>
    </row>
    <row r="17" spans="1:12" ht="15" thickBot="1">
      <c r="A17" s="115">
        <f>A15+1</f>
        <v>7</v>
      </c>
      <c r="B17" s="116" t="s">
        <v>3</v>
      </c>
      <c r="C17" s="116"/>
      <c r="D17" s="116"/>
      <c r="E17" s="116"/>
      <c r="F17" s="116"/>
      <c r="G17" s="116"/>
      <c r="H17" s="117">
        <f>H11</f>
        <v>296353</v>
      </c>
      <c r="I17" s="106" t="s">
        <v>56</v>
      </c>
      <c r="J17" s="105"/>
      <c r="K17" s="105"/>
    </row>
    <row r="18" spans="1:12">
      <c r="A18" s="115"/>
      <c r="B18" s="104"/>
      <c r="C18" s="104"/>
      <c r="D18" s="104"/>
      <c r="E18" s="104"/>
      <c r="F18" s="104"/>
      <c r="G18" s="104"/>
      <c r="H18" s="105"/>
      <c r="I18" s="106"/>
      <c r="J18" s="104"/>
      <c r="K18" s="104"/>
    </row>
    <row r="19" spans="1:12">
      <c r="A19" s="115">
        <f>A17+1</f>
        <v>8</v>
      </c>
      <c r="B19" s="104" t="str">
        <f>'Sch. 2 - BHP'!B19</f>
        <v>Common Use AC Facility Transmission Load (2024 Actual Load)</v>
      </c>
      <c r="C19" s="104"/>
      <c r="D19" s="104"/>
      <c r="E19" s="104"/>
      <c r="F19" s="104"/>
      <c r="G19" s="104"/>
      <c r="H19" s="118">
        <f>+'CUS AC LOADS'!I24*1000</f>
        <v>964333.33333333337</v>
      </c>
      <c r="I19" s="106" t="s">
        <v>64</v>
      </c>
      <c r="J19" s="132"/>
    </row>
    <row r="20" spans="1:12">
      <c r="A20" s="129"/>
      <c r="B20" s="129"/>
      <c r="C20" s="129"/>
      <c r="D20" s="129"/>
      <c r="E20" s="129"/>
      <c r="F20" s="129"/>
      <c r="G20" s="133"/>
      <c r="H20" s="129"/>
      <c r="I20" s="130"/>
      <c r="J20" s="129"/>
      <c r="K20" s="129"/>
    </row>
    <row r="21" spans="1:12">
      <c r="A21" s="115">
        <f>A19+1</f>
        <v>9</v>
      </c>
      <c r="B21" s="104" t="s">
        <v>5</v>
      </c>
      <c r="C21" s="104"/>
      <c r="D21" s="104"/>
      <c r="E21" s="104"/>
      <c r="F21" s="104"/>
      <c r="G21" s="104"/>
      <c r="H21" s="120">
        <f>ROUND(H17/H19,4)</f>
        <v>0.30730000000000002</v>
      </c>
      <c r="I21" s="106" t="str">
        <f>+'Sch. 2 - BHP'!I21</f>
        <v>$ per kW - Year   (Ln 7/ Ln 8)</v>
      </c>
      <c r="J21" s="121"/>
      <c r="K21" s="129"/>
      <c r="L21" s="138"/>
    </row>
    <row r="22" spans="1:12">
      <c r="A22" s="129"/>
      <c r="B22" s="129"/>
      <c r="C22" s="129"/>
      <c r="D22" s="129"/>
      <c r="E22" s="129"/>
      <c r="F22" s="129"/>
      <c r="G22" s="129"/>
      <c r="H22" s="134"/>
      <c r="I22" s="130"/>
      <c r="J22" s="135"/>
      <c r="K22" s="135"/>
      <c r="L22" s="136"/>
    </row>
    <row r="23" spans="1:12">
      <c r="A23" s="115">
        <f>A21+1</f>
        <v>10</v>
      </c>
      <c r="B23" s="104"/>
      <c r="C23" s="104"/>
      <c r="D23" s="104"/>
      <c r="E23" s="104"/>
      <c r="F23" s="104"/>
      <c r="G23" s="104"/>
      <c r="H23" s="120">
        <f>ROUND(H21/12,4)</f>
        <v>2.5600000000000001E-2</v>
      </c>
      <c r="I23" s="106" t="str">
        <f>+'Sch. 2 - BHP'!I23</f>
        <v>$ per kW - Month (Ln 9 / 12)</v>
      </c>
      <c r="J23" s="121"/>
      <c r="K23" s="135"/>
      <c r="L23" s="124"/>
    </row>
    <row r="24" spans="1:12">
      <c r="A24" s="129"/>
      <c r="B24" s="129"/>
      <c r="C24" s="129"/>
      <c r="D24" s="129"/>
      <c r="E24" s="129"/>
      <c r="F24" s="129"/>
      <c r="G24" s="129"/>
      <c r="H24" s="134"/>
      <c r="I24" s="130"/>
      <c r="J24" s="129"/>
      <c r="K24" s="129"/>
    </row>
    <row r="25" spans="1:12">
      <c r="A25" s="115">
        <f>A23+1</f>
        <v>11</v>
      </c>
      <c r="B25" s="104"/>
      <c r="C25" s="104"/>
      <c r="D25" s="104"/>
      <c r="E25" s="104"/>
      <c r="F25" s="125"/>
      <c r="G25" s="104"/>
      <c r="H25" s="120">
        <f>ROUND(H21/52,4)</f>
        <v>5.8999999999999999E-3</v>
      </c>
      <c r="I25" s="106" t="str">
        <f>+'Sch. 2 - BHP'!I25</f>
        <v>$ per kW - Week (Ln 9 / 52)</v>
      </c>
      <c r="J25" s="121"/>
      <c r="K25" s="129"/>
    </row>
    <row r="26" spans="1:12">
      <c r="A26" s="129"/>
      <c r="B26" s="129"/>
      <c r="C26" s="129"/>
      <c r="D26" s="129"/>
      <c r="E26" s="129"/>
      <c r="F26" s="129"/>
      <c r="G26" s="129"/>
      <c r="H26" s="134"/>
      <c r="I26" s="130"/>
      <c r="J26" s="129"/>
      <c r="K26" s="129"/>
    </row>
    <row r="27" spans="1:12">
      <c r="A27" s="115">
        <f>A25+1</f>
        <v>12</v>
      </c>
      <c r="B27" s="104"/>
      <c r="C27" s="104"/>
      <c r="D27" s="104"/>
      <c r="E27" s="125"/>
      <c r="F27" s="104"/>
      <c r="G27" s="104"/>
      <c r="H27" s="120">
        <f>ROUND(H21/365,4)</f>
        <v>8.0000000000000004E-4</v>
      </c>
      <c r="I27" s="106" t="str">
        <f>+'Sch. 2 - BHP'!I27</f>
        <v>$ per kW - day off peak (Ln 9 / 365)</v>
      </c>
      <c r="J27" s="121" t="s">
        <v>36</v>
      </c>
      <c r="K27" s="129"/>
    </row>
    <row r="28" spans="1:12">
      <c r="A28" s="115">
        <f>A27+1</f>
        <v>13</v>
      </c>
      <c r="B28" s="104"/>
      <c r="C28" s="104"/>
      <c r="D28" s="104"/>
      <c r="E28" s="125"/>
      <c r="F28" s="104"/>
      <c r="G28" s="104"/>
      <c r="H28" s="120">
        <f>ROUND(H21/312,4)</f>
        <v>1E-3</v>
      </c>
      <c r="I28" s="106" t="str">
        <f>+'Sch. 2 - BHP'!I28</f>
        <v>$ per kW - day on peak (Ln 9 / 312)</v>
      </c>
      <c r="J28" s="121" t="s">
        <v>117</v>
      </c>
      <c r="K28" s="129"/>
    </row>
    <row r="29" spans="1:12">
      <c r="A29" s="129"/>
      <c r="B29" s="129"/>
      <c r="C29" s="129"/>
      <c r="D29" s="129"/>
      <c r="E29" s="129"/>
      <c r="F29" s="129"/>
      <c r="G29" s="129"/>
      <c r="H29" s="129"/>
      <c r="I29" s="106"/>
      <c r="J29" s="129"/>
      <c r="K29" s="129"/>
    </row>
    <row r="30" spans="1:12">
      <c r="A30" s="115">
        <f>A28+1</f>
        <v>14</v>
      </c>
      <c r="B30" s="104"/>
      <c r="C30" s="104"/>
      <c r="D30" s="104"/>
      <c r="E30" s="104"/>
      <c r="F30" s="104"/>
      <c r="G30" s="104"/>
      <c r="H30" s="121">
        <f>ROUND((H21/8760),5)</f>
        <v>4.0000000000000003E-5</v>
      </c>
      <c r="I30" s="106" t="str">
        <f>+'Sch. 2 - BHP'!I30</f>
        <v>$ per kW - hour off peak (Ln 9 / 8760)</v>
      </c>
      <c r="J30" s="121"/>
      <c r="K30" s="129"/>
    </row>
    <row r="31" spans="1:12">
      <c r="A31" s="115">
        <f>A30+1</f>
        <v>15</v>
      </c>
      <c r="B31" s="104"/>
      <c r="C31" s="104"/>
      <c r="D31" s="104"/>
      <c r="E31" s="104"/>
      <c r="F31" s="104"/>
      <c r="G31" s="104"/>
      <c r="H31" s="121">
        <f>ROUND((H21/4992),5)</f>
        <v>6.0000000000000002E-5</v>
      </c>
      <c r="I31" s="106" t="str">
        <f>+'Sch. 2 - BHP'!I31</f>
        <v>$ per kW - hour on peak (Ln 9 / 4992)</v>
      </c>
      <c r="J31" s="121" t="s">
        <v>35</v>
      </c>
      <c r="K31" s="129"/>
    </row>
    <row r="32" spans="1:12">
      <c r="A32" s="129"/>
      <c r="B32" s="129"/>
      <c r="C32" s="129"/>
      <c r="D32" s="129"/>
      <c r="E32" s="129"/>
      <c r="F32" s="129"/>
      <c r="G32" s="129"/>
      <c r="H32" s="129"/>
      <c r="I32" s="130"/>
      <c r="J32" s="129"/>
      <c r="K32" s="129"/>
    </row>
    <row r="33" spans="1:11">
      <c r="A33" s="129"/>
      <c r="B33" s="129"/>
      <c r="C33" s="129"/>
      <c r="D33" s="129"/>
      <c r="E33" s="129"/>
      <c r="F33" s="129"/>
      <c r="G33" s="129"/>
      <c r="H33" s="129"/>
      <c r="I33" s="130"/>
      <c r="J33" s="129"/>
      <c r="K33" s="129"/>
    </row>
    <row r="34" spans="1:11">
      <c r="A34" s="129"/>
      <c r="B34" s="129"/>
      <c r="C34" s="129"/>
      <c r="D34" s="129"/>
      <c r="E34" s="129"/>
      <c r="F34" s="129"/>
      <c r="G34" s="129"/>
      <c r="I34" s="130"/>
      <c r="K34" s="129"/>
    </row>
  </sheetData>
  <pageMargins left="0.28000000000000003" right="0.33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4"/>
  <sheetViews>
    <sheetView workbookViewId="0">
      <selection activeCell="D24" sqref="D24"/>
    </sheetView>
  </sheetViews>
  <sheetFormatPr defaultRowHeight="14.25"/>
  <cols>
    <col min="1" max="1" width="9.140625" style="41" bestFit="1" customWidth="1"/>
    <col min="2" max="6" width="9.140625" style="41"/>
    <col min="7" max="7" width="15.7109375" style="41" customWidth="1"/>
    <col min="8" max="8" width="11.140625" style="41" bestFit="1" customWidth="1"/>
    <col min="9" max="9" width="35.28515625" style="107" customWidth="1"/>
    <col min="10" max="10" width="12.85546875" style="41" bestFit="1" customWidth="1"/>
    <col min="11" max="11" width="11.85546875" style="41" customWidth="1"/>
    <col min="12" max="12" width="10.140625" style="41" bestFit="1" customWidth="1"/>
    <col min="13" max="16384" width="9.140625" style="41"/>
  </cols>
  <sheetData>
    <row r="1" spans="1:11" ht="15">
      <c r="A1" s="103" t="s">
        <v>0</v>
      </c>
      <c r="B1" s="104"/>
      <c r="C1" s="104"/>
      <c r="D1" s="104"/>
      <c r="E1" s="104"/>
      <c r="F1" s="104"/>
      <c r="G1" s="104"/>
      <c r="H1" s="105"/>
      <c r="I1" s="106"/>
      <c r="J1" s="104"/>
      <c r="K1" s="104"/>
    </row>
    <row r="2" spans="1:11" ht="15">
      <c r="A2" s="103" t="s">
        <v>1</v>
      </c>
      <c r="B2" s="104"/>
      <c r="C2" s="104"/>
      <c r="D2" s="104"/>
      <c r="E2" s="104"/>
      <c r="F2" s="104"/>
      <c r="G2" s="104"/>
      <c r="H2" s="105"/>
      <c r="K2" s="108" t="str">
        <f>+'Under-Over Recovery'!J2</f>
        <v>Black Hills Power, Inc.</v>
      </c>
    </row>
    <row r="3" spans="1:11" ht="15">
      <c r="A3" s="103" t="s">
        <v>2</v>
      </c>
      <c r="B3" s="104"/>
      <c r="C3" s="104"/>
      <c r="D3" s="104"/>
      <c r="E3" s="104"/>
      <c r="F3" s="104"/>
      <c r="G3" s="104"/>
      <c r="H3" s="105"/>
      <c r="I3" s="106"/>
      <c r="J3" s="104"/>
      <c r="K3" s="108" t="str">
        <f>+'Under-Over Recovery'!J3</f>
        <v>May 31, 2025</v>
      </c>
    </row>
    <row r="4" spans="1:11" ht="15">
      <c r="A4" s="103"/>
      <c r="B4" s="104"/>
      <c r="C4" s="104"/>
      <c r="D4" s="104"/>
      <c r="E4" s="104"/>
      <c r="F4" s="104"/>
      <c r="G4" s="104"/>
      <c r="H4" s="105"/>
      <c r="I4" s="106"/>
      <c r="K4" s="104"/>
    </row>
    <row r="5" spans="1:11">
      <c r="A5" s="129"/>
      <c r="B5" s="129"/>
      <c r="C5" s="129"/>
      <c r="D5" s="129"/>
      <c r="E5" s="129"/>
      <c r="F5" s="129"/>
      <c r="G5" s="129"/>
      <c r="H5" s="129"/>
      <c r="I5" s="130"/>
      <c r="J5" s="129"/>
      <c r="K5" s="129"/>
    </row>
    <row r="6" spans="1:11">
      <c r="A6" s="129"/>
      <c r="B6" s="129"/>
      <c r="C6" s="129"/>
      <c r="D6" s="129"/>
      <c r="E6" s="129"/>
      <c r="F6" s="129"/>
      <c r="G6" s="129"/>
      <c r="H6" s="129"/>
      <c r="I6" s="130"/>
      <c r="J6" s="129"/>
      <c r="K6" s="129"/>
    </row>
    <row r="7" spans="1:11">
      <c r="A7" s="129"/>
      <c r="B7" s="129"/>
      <c r="C7" s="129"/>
      <c r="D7" s="129"/>
      <c r="E7" s="129"/>
      <c r="F7" s="129"/>
      <c r="G7" s="129"/>
      <c r="H7" s="129"/>
      <c r="I7" s="130"/>
      <c r="J7" s="129"/>
      <c r="K7" s="129"/>
    </row>
    <row r="8" spans="1:11">
      <c r="A8" s="131" t="s">
        <v>31</v>
      </c>
      <c r="B8" s="129"/>
      <c r="C8" s="129"/>
      <c r="D8" s="129"/>
      <c r="E8" s="129"/>
      <c r="F8" s="129"/>
      <c r="G8" s="129"/>
      <c r="H8" s="129"/>
      <c r="I8" s="130"/>
      <c r="J8" s="129"/>
      <c r="K8" s="129"/>
    </row>
    <row r="9" spans="1:11">
      <c r="A9" s="112" t="s">
        <v>32</v>
      </c>
      <c r="B9" s="113"/>
      <c r="C9" s="104"/>
      <c r="D9" s="114"/>
      <c r="E9" s="104"/>
      <c r="F9" s="104"/>
      <c r="G9" s="104"/>
      <c r="H9" s="129"/>
      <c r="I9" s="106"/>
      <c r="J9" s="104"/>
      <c r="K9" s="104"/>
    </row>
    <row r="10" spans="1:11">
      <c r="A10" s="115">
        <v>1</v>
      </c>
      <c r="B10" s="113" t="s">
        <v>60</v>
      </c>
      <c r="C10" s="104"/>
      <c r="D10" s="114"/>
      <c r="E10" s="104"/>
      <c r="F10" s="104"/>
      <c r="G10" s="104"/>
      <c r="H10" s="105">
        <f>+'Sch. 2 - Total'!H10</f>
        <v>1660052</v>
      </c>
      <c r="I10" s="106" t="s">
        <v>51</v>
      </c>
      <c r="J10" s="104"/>
      <c r="K10" s="104"/>
    </row>
    <row r="11" spans="1:11">
      <c r="A11" s="115">
        <v>2</v>
      </c>
      <c r="B11" s="113" t="s">
        <v>50</v>
      </c>
      <c r="C11" s="104"/>
      <c r="D11" s="114"/>
      <c r="E11" s="104"/>
      <c r="F11" s="104"/>
      <c r="G11" s="104"/>
      <c r="H11" s="105">
        <f>+'Sch. 2 - Total'!H11</f>
        <v>296353</v>
      </c>
      <c r="I11" s="106" t="s">
        <v>113</v>
      </c>
      <c r="J11" s="104"/>
      <c r="K11" s="104"/>
    </row>
    <row r="12" spans="1:11">
      <c r="A12" s="115">
        <v>3</v>
      </c>
      <c r="B12" s="113" t="s">
        <v>53</v>
      </c>
      <c r="C12" s="104"/>
      <c r="D12" s="114"/>
      <c r="E12" s="104"/>
      <c r="F12" s="104"/>
      <c r="G12" s="104"/>
      <c r="H12" s="105">
        <f>+'Sch. 2 - Total'!H12</f>
        <v>601062</v>
      </c>
      <c r="I12" s="106" t="s">
        <v>55</v>
      </c>
      <c r="J12" s="104"/>
      <c r="K12" s="104"/>
    </row>
    <row r="13" spans="1:11">
      <c r="A13" s="115">
        <v>4</v>
      </c>
      <c r="B13" s="113" t="s">
        <v>52</v>
      </c>
      <c r="C13" s="104"/>
      <c r="D13" s="114"/>
      <c r="E13" s="104"/>
      <c r="F13" s="104"/>
      <c r="G13" s="104"/>
      <c r="H13" s="105">
        <f>+'Sch. 2 - Total'!H13</f>
        <v>260384</v>
      </c>
      <c r="I13" s="106" t="s">
        <v>54</v>
      </c>
      <c r="J13" s="104"/>
      <c r="K13" s="104"/>
    </row>
    <row r="14" spans="1:11">
      <c r="A14" s="115">
        <v>5</v>
      </c>
      <c r="B14" s="113" t="s">
        <v>62</v>
      </c>
      <c r="C14" s="104"/>
      <c r="D14" s="114"/>
      <c r="E14" s="104"/>
      <c r="F14" s="104"/>
      <c r="G14" s="104"/>
      <c r="H14" s="105">
        <f>+'Sch. 2 - Total'!H14</f>
        <v>1034689</v>
      </c>
      <c r="I14" s="106" t="s">
        <v>103</v>
      </c>
      <c r="J14" s="104"/>
      <c r="K14" s="104"/>
    </row>
    <row r="15" spans="1:11">
      <c r="A15" s="115">
        <v>6</v>
      </c>
      <c r="B15" s="113" t="s">
        <v>63</v>
      </c>
      <c r="C15" s="104"/>
      <c r="D15" s="114"/>
      <c r="E15" s="104"/>
      <c r="F15" s="104"/>
      <c r="G15" s="104"/>
      <c r="H15" s="105">
        <f>+'Sch. 2 - Total'!H15</f>
        <v>66747</v>
      </c>
      <c r="I15" s="106" t="s">
        <v>103</v>
      </c>
      <c r="J15" s="104"/>
      <c r="K15" s="104"/>
    </row>
    <row r="16" spans="1:11">
      <c r="A16" s="129"/>
      <c r="B16" s="129"/>
      <c r="C16" s="129"/>
      <c r="D16" s="129"/>
      <c r="E16" s="129"/>
      <c r="F16" s="129"/>
      <c r="G16" s="129"/>
      <c r="H16" s="129"/>
      <c r="I16" s="130"/>
      <c r="J16" s="129"/>
      <c r="K16" s="129"/>
    </row>
    <row r="17" spans="1:12" ht="15" thickBot="1">
      <c r="A17" s="115">
        <v>7</v>
      </c>
      <c r="B17" s="116" t="s">
        <v>3</v>
      </c>
      <c r="C17" s="116"/>
      <c r="D17" s="116"/>
      <c r="E17" s="116"/>
      <c r="F17" s="116"/>
      <c r="G17" s="116"/>
      <c r="H17" s="117">
        <f>H12</f>
        <v>601062</v>
      </c>
      <c r="I17" s="106" t="s">
        <v>58</v>
      </c>
      <c r="J17" s="105"/>
      <c r="K17" s="105"/>
    </row>
    <row r="18" spans="1:12">
      <c r="A18" s="115"/>
      <c r="B18" s="104"/>
      <c r="C18" s="104"/>
      <c r="D18" s="104"/>
      <c r="E18" s="104"/>
      <c r="F18" s="104"/>
      <c r="G18" s="104"/>
      <c r="H18" s="105"/>
      <c r="I18" s="106"/>
      <c r="J18" s="104"/>
      <c r="K18" s="104"/>
    </row>
    <row r="19" spans="1:12">
      <c r="A19" s="115">
        <v>8</v>
      </c>
      <c r="B19" s="104" t="str">
        <f>'Sch. 2 - BHP'!B19</f>
        <v>Common Use AC Facility Transmission Load (2024 Actual Load)</v>
      </c>
      <c r="C19" s="104"/>
      <c r="D19" s="104"/>
      <c r="E19" s="104"/>
      <c r="F19" s="104"/>
      <c r="G19" s="104"/>
      <c r="H19" s="118">
        <f>+'CUS AC LOADS'!I24*1000</f>
        <v>964333.33333333337</v>
      </c>
      <c r="I19" s="106" t="s">
        <v>64</v>
      </c>
      <c r="J19" s="132"/>
    </row>
    <row r="20" spans="1:12">
      <c r="A20" s="129"/>
      <c r="B20" s="129"/>
      <c r="C20" s="129"/>
      <c r="D20" s="129"/>
      <c r="E20" s="129"/>
      <c r="F20" s="129"/>
      <c r="G20" s="133"/>
      <c r="H20" s="129"/>
      <c r="I20" s="130"/>
      <c r="J20" s="129"/>
      <c r="K20" s="129"/>
    </row>
    <row r="21" spans="1:12">
      <c r="A21" s="115">
        <v>9</v>
      </c>
      <c r="B21" s="104" t="s">
        <v>5</v>
      </c>
      <c r="C21" s="104"/>
      <c r="D21" s="104"/>
      <c r="E21" s="104"/>
      <c r="F21" s="104"/>
      <c r="G21" s="104"/>
      <c r="H21" s="120">
        <f>ROUND(H17/H19,4)</f>
        <v>0.62329999999999997</v>
      </c>
      <c r="I21" s="106" t="str">
        <f>+'Sch. 2 - BHP'!I21</f>
        <v>$ per kW - Year   (Ln 7/ Ln 8)</v>
      </c>
      <c r="J21" s="121"/>
      <c r="K21" s="129"/>
    </row>
    <row r="22" spans="1:12">
      <c r="A22" s="129"/>
      <c r="B22" s="129"/>
      <c r="C22" s="129"/>
      <c r="D22" s="129"/>
      <c r="E22" s="129"/>
      <c r="F22" s="129"/>
      <c r="G22" s="129"/>
      <c r="H22" s="134"/>
      <c r="I22" s="130"/>
      <c r="J22" s="135"/>
      <c r="K22" s="135"/>
      <c r="L22" s="124"/>
    </row>
    <row r="23" spans="1:12">
      <c r="A23" s="115">
        <v>10</v>
      </c>
      <c r="B23" s="104"/>
      <c r="C23" s="104"/>
      <c r="D23" s="104"/>
      <c r="E23" s="104"/>
      <c r="F23" s="104"/>
      <c r="G23" s="104"/>
      <c r="H23" s="120">
        <f>ROUND(H21/12,4)</f>
        <v>5.1900000000000002E-2</v>
      </c>
      <c r="I23" s="106" t="str">
        <f>+'Sch. 2 - BHP'!I23</f>
        <v>$ per kW - Month (Ln 9 / 12)</v>
      </c>
      <c r="J23" s="121"/>
      <c r="K23" s="135"/>
      <c r="L23" s="124"/>
    </row>
    <row r="24" spans="1:12">
      <c r="A24" s="129"/>
      <c r="B24" s="129"/>
      <c r="C24" s="129"/>
      <c r="D24" s="129"/>
      <c r="E24" s="129"/>
      <c r="F24" s="129"/>
      <c r="G24" s="129"/>
      <c r="H24" s="134"/>
      <c r="I24" s="130"/>
      <c r="J24" s="129"/>
      <c r="K24" s="129"/>
    </row>
    <row r="25" spans="1:12">
      <c r="A25" s="115">
        <v>11</v>
      </c>
      <c r="B25" s="104"/>
      <c r="C25" s="104"/>
      <c r="D25" s="104"/>
      <c r="E25" s="104"/>
      <c r="F25" s="125"/>
      <c r="G25" s="104"/>
      <c r="H25" s="120">
        <f>ROUND(H21/52,4)</f>
        <v>1.2E-2</v>
      </c>
      <c r="I25" s="106" t="str">
        <f>+'Sch. 2 - BHP'!I25</f>
        <v>$ per kW - Week (Ln 9 / 52)</v>
      </c>
      <c r="J25" s="121"/>
      <c r="K25" s="129"/>
    </row>
    <row r="26" spans="1:12">
      <c r="A26" s="129"/>
      <c r="B26" s="129"/>
      <c r="C26" s="129"/>
      <c r="D26" s="129"/>
      <c r="E26" s="129"/>
      <c r="F26" s="129"/>
      <c r="G26" s="129"/>
      <c r="H26" s="134"/>
      <c r="I26" s="130"/>
      <c r="J26" s="129"/>
      <c r="K26" s="129"/>
    </row>
    <row r="27" spans="1:12">
      <c r="A27" s="115">
        <v>12</v>
      </c>
      <c r="B27" s="104"/>
      <c r="C27" s="104"/>
      <c r="D27" s="104"/>
      <c r="E27" s="125"/>
      <c r="F27" s="104"/>
      <c r="G27" s="104"/>
      <c r="H27" s="120">
        <f>ROUND(H21/365,4)</f>
        <v>1.6999999999999999E-3</v>
      </c>
      <c r="I27" s="106" t="str">
        <f>+'Sch. 2 - BHP'!I27</f>
        <v>$ per kW - day off peak (Ln 9 / 365)</v>
      </c>
      <c r="J27" s="121" t="s">
        <v>36</v>
      </c>
      <c r="K27" s="129"/>
    </row>
    <row r="28" spans="1:12">
      <c r="A28" s="115">
        <v>13</v>
      </c>
      <c r="B28" s="104"/>
      <c r="C28" s="104"/>
      <c r="D28" s="104"/>
      <c r="E28" s="125"/>
      <c r="F28" s="104"/>
      <c r="G28" s="104"/>
      <c r="H28" s="120">
        <f>ROUND(H21/312,4)</f>
        <v>2E-3</v>
      </c>
      <c r="I28" s="106" t="str">
        <f>+'Sch. 2 - BHP'!I28</f>
        <v>$ per kW - day on peak (Ln 9 / 312)</v>
      </c>
      <c r="J28" s="121" t="s">
        <v>117</v>
      </c>
      <c r="K28" s="129"/>
    </row>
    <row r="29" spans="1:12">
      <c r="A29" s="129"/>
      <c r="B29" s="129"/>
      <c r="C29" s="129"/>
      <c r="D29" s="129"/>
      <c r="E29" s="129"/>
      <c r="F29" s="129"/>
      <c r="G29" s="129"/>
      <c r="H29" s="129"/>
      <c r="I29" s="130"/>
      <c r="J29" s="129"/>
      <c r="K29" s="129"/>
    </row>
    <row r="30" spans="1:12">
      <c r="A30" s="115">
        <v>14</v>
      </c>
      <c r="B30" s="104"/>
      <c r="C30" s="104"/>
      <c r="D30" s="104"/>
      <c r="E30" s="104"/>
      <c r="F30" s="104"/>
      <c r="G30" s="104"/>
      <c r="H30" s="121">
        <f>ROUND((H21/8760),5)</f>
        <v>6.9999999999999994E-5</v>
      </c>
      <c r="I30" s="106" t="str">
        <f>+'Sch. 2 - BHP'!I30</f>
        <v>$ per kW - hour off peak (Ln 9 / 8760)</v>
      </c>
      <c r="J30" s="121"/>
      <c r="K30" s="129"/>
    </row>
    <row r="31" spans="1:12">
      <c r="A31" s="115">
        <v>15</v>
      </c>
      <c r="B31" s="104"/>
      <c r="C31" s="104"/>
      <c r="D31" s="104"/>
      <c r="E31" s="104"/>
      <c r="F31" s="104"/>
      <c r="G31" s="104"/>
      <c r="H31" s="121">
        <f>ROUND((H21/4992),5)</f>
        <v>1.2E-4</v>
      </c>
      <c r="I31" s="106" t="str">
        <f>+'Sch. 2 - BHP'!I31</f>
        <v>$ per kW - hour on peak (Ln 9 / 4992)</v>
      </c>
      <c r="J31" s="121" t="s">
        <v>35</v>
      </c>
      <c r="K31" s="129"/>
    </row>
    <row r="32" spans="1:12">
      <c r="A32" s="129"/>
      <c r="B32" s="129"/>
      <c r="C32" s="129"/>
      <c r="D32" s="129"/>
      <c r="E32" s="129"/>
      <c r="F32" s="129"/>
      <c r="G32" s="129"/>
      <c r="H32" s="129"/>
      <c r="I32" s="130"/>
      <c r="J32" s="129"/>
      <c r="K32" s="129"/>
    </row>
    <row r="33" spans="1:11">
      <c r="A33" s="129"/>
      <c r="B33" s="129"/>
      <c r="C33" s="129"/>
      <c r="D33" s="129"/>
      <c r="E33" s="129"/>
      <c r="F33" s="129"/>
      <c r="G33" s="129"/>
      <c r="H33" s="129"/>
      <c r="I33" s="130"/>
      <c r="J33" s="129"/>
      <c r="K33" s="129"/>
    </row>
    <row r="34" spans="1:11">
      <c r="A34" s="129"/>
      <c r="B34" s="129"/>
      <c r="C34" s="129"/>
      <c r="D34" s="129"/>
      <c r="E34" s="129"/>
      <c r="F34" s="129"/>
      <c r="G34" s="129"/>
      <c r="I34" s="130"/>
      <c r="K34" s="129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4"/>
  <sheetViews>
    <sheetView workbookViewId="0">
      <selection activeCell="F19" sqref="F19"/>
    </sheetView>
  </sheetViews>
  <sheetFormatPr defaultRowHeight="14.25"/>
  <cols>
    <col min="1" max="1" width="9.140625" style="41" bestFit="1" customWidth="1"/>
    <col min="2" max="6" width="9.140625" style="41"/>
    <col min="7" max="7" width="17.5703125" style="41" customWidth="1"/>
    <col min="8" max="8" width="11.140625" style="41" bestFit="1" customWidth="1"/>
    <col min="9" max="9" width="38" style="107" customWidth="1"/>
    <col min="10" max="10" width="12.85546875" style="41" bestFit="1" customWidth="1"/>
    <col min="11" max="11" width="11.85546875" style="41" customWidth="1"/>
    <col min="12" max="12" width="10.140625" style="41" bestFit="1" customWidth="1"/>
    <col min="13" max="16384" width="9.140625" style="41"/>
  </cols>
  <sheetData>
    <row r="1" spans="1:16" ht="15">
      <c r="A1" s="103" t="s">
        <v>0</v>
      </c>
      <c r="B1" s="104"/>
      <c r="C1" s="104"/>
      <c r="D1" s="104"/>
      <c r="E1" s="104"/>
      <c r="F1" s="104"/>
      <c r="G1" s="104"/>
      <c r="H1" s="105"/>
      <c r="I1" s="106"/>
      <c r="J1" s="104"/>
      <c r="K1" s="104"/>
    </row>
    <row r="2" spans="1:16" ht="15">
      <c r="A2" s="103" t="s">
        <v>1</v>
      </c>
      <c r="B2" s="104"/>
      <c r="C2" s="104"/>
      <c r="D2" s="104"/>
      <c r="E2" s="104"/>
      <c r="F2" s="104"/>
      <c r="G2" s="104"/>
      <c r="H2" s="105"/>
      <c r="K2" s="108" t="str">
        <f>+'Under-Over Recovery'!J2</f>
        <v>Black Hills Power, Inc.</v>
      </c>
    </row>
    <row r="3" spans="1:16" ht="15">
      <c r="A3" s="103" t="s">
        <v>2</v>
      </c>
      <c r="B3" s="104"/>
      <c r="C3" s="104"/>
      <c r="D3" s="104"/>
      <c r="E3" s="104"/>
      <c r="F3" s="104"/>
      <c r="G3" s="104"/>
      <c r="H3" s="105"/>
      <c r="I3" s="106"/>
      <c r="J3" s="104"/>
      <c r="K3" s="108" t="str">
        <f>+'Under-Over Recovery'!J3</f>
        <v>May 31, 2025</v>
      </c>
    </row>
    <row r="4" spans="1:16" ht="15">
      <c r="A4" s="103"/>
      <c r="B4" s="104"/>
      <c r="C4" s="104"/>
      <c r="D4" s="104"/>
      <c r="E4" s="104"/>
      <c r="F4" s="104"/>
      <c r="G4" s="104"/>
      <c r="H4" s="105"/>
      <c r="I4" s="106"/>
      <c r="K4" s="104"/>
      <c r="P4" s="104"/>
    </row>
    <row r="5" spans="1:16">
      <c r="A5" s="129"/>
      <c r="B5" s="129"/>
      <c r="C5" s="129"/>
      <c r="D5" s="129"/>
      <c r="E5" s="129"/>
      <c r="F5" s="129"/>
      <c r="G5" s="129"/>
      <c r="H5" s="129"/>
      <c r="I5" s="130"/>
      <c r="J5" s="129"/>
      <c r="K5" s="129"/>
    </row>
    <row r="6" spans="1:16">
      <c r="A6" s="129"/>
      <c r="B6" s="129"/>
      <c r="C6" s="129"/>
      <c r="D6" s="129"/>
      <c r="E6" s="129"/>
      <c r="F6" s="129"/>
      <c r="G6" s="129"/>
      <c r="H6" s="129"/>
      <c r="I6" s="130"/>
      <c r="J6" s="129"/>
      <c r="K6" s="129"/>
    </row>
    <row r="7" spans="1:16">
      <c r="A7" s="129"/>
      <c r="B7" s="129"/>
      <c r="C7" s="129"/>
      <c r="D7" s="129"/>
      <c r="E7" s="129"/>
      <c r="F7" s="129"/>
      <c r="G7" s="129"/>
      <c r="H7" s="129"/>
      <c r="I7" s="130"/>
      <c r="J7" s="129"/>
      <c r="K7" s="129"/>
    </row>
    <row r="8" spans="1:16">
      <c r="A8" s="131" t="s">
        <v>31</v>
      </c>
      <c r="B8" s="129"/>
      <c r="C8" s="129"/>
      <c r="D8" s="129"/>
      <c r="E8" s="129"/>
      <c r="F8" s="129"/>
      <c r="G8" s="129"/>
      <c r="H8" s="129"/>
      <c r="I8" s="130"/>
      <c r="J8" s="129"/>
      <c r="K8" s="129"/>
    </row>
    <row r="9" spans="1:16">
      <c r="A9" s="112" t="s">
        <v>32</v>
      </c>
      <c r="B9" s="113"/>
      <c r="C9" s="104"/>
      <c r="D9" s="114"/>
      <c r="E9" s="104"/>
      <c r="F9" s="104"/>
      <c r="G9" s="104"/>
      <c r="H9" s="129"/>
      <c r="I9" s="106"/>
      <c r="J9" s="104"/>
      <c r="K9" s="104"/>
    </row>
    <row r="10" spans="1:16">
      <c r="A10" s="115">
        <v>1</v>
      </c>
      <c r="B10" s="113" t="s">
        <v>60</v>
      </c>
      <c r="C10" s="104"/>
      <c r="D10" s="114"/>
      <c r="E10" s="104"/>
      <c r="F10" s="104"/>
      <c r="G10" s="104"/>
      <c r="H10" s="105">
        <f>+'Sch. 2 - Total'!H10</f>
        <v>1660052</v>
      </c>
      <c r="I10" s="106" t="s">
        <v>51</v>
      </c>
      <c r="J10" s="104"/>
      <c r="K10" s="104"/>
    </row>
    <row r="11" spans="1:16">
      <c r="A11" s="115">
        <v>2</v>
      </c>
      <c r="B11" s="113" t="s">
        <v>50</v>
      </c>
      <c r="C11" s="104"/>
      <c r="D11" s="114"/>
      <c r="E11" s="104"/>
      <c r="F11" s="104"/>
      <c r="G11" s="104"/>
      <c r="H11" s="105">
        <f>+'Sch. 2 - Total'!H11</f>
        <v>296353</v>
      </c>
      <c r="I11" s="106" t="s">
        <v>113</v>
      </c>
      <c r="J11" s="104"/>
      <c r="K11" s="104"/>
    </row>
    <row r="12" spans="1:16">
      <c r="A12" s="115">
        <v>3</v>
      </c>
      <c r="B12" s="113" t="s">
        <v>53</v>
      </c>
      <c r="C12" s="104"/>
      <c r="D12" s="114"/>
      <c r="E12" s="104"/>
      <c r="F12" s="104"/>
      <c r="G12" s="104"/>
      <c r="H12" s="105">
        <f>+'Sch. 2 - Total'!H12</f>
        <v>601062</v>
      </c>
      <c r="I12" s="106" t="s">
        <v>55</v>
      </c>
      <c r="J12" s="104"/>
      <c r="K12" s="104"/>
    </row>
    <row r="13" spans="1:16">
      <c r="A13" s="115">
        <v>4</v>
      </c>
      <c r="B13" s="113" t="s">
        <v>52</v>
      </c>
      <c r="C13" s="104"/>
      <c r="D13" s="114"/>
      <c r="E13" s="104"/>
      <c r="F13" s="104"/>
      <c r="G13" s="104"/>
      <c r="H13" s="105">
        <f>+'Sch. 2 - Total'!H13</f>
        <v>260384</v>
      </c>
      <c r="I13" s="106" t="s">
        <v>54</v>
      </c>
      <c r="J13" s="104"/>
      <c r="K13" s="104"/>
    </row>
    <row r="14" spans="1:16">
      <c r="A14" s="115">
        <v>5</v>
      </c>
      <c r="B14" s="113" t="s">
        <v>62</v>
      </c>
      <c r="C14" s="104"/>
      <c r="D14" s="114"/>
      <c r="E14" s="104"/>
      <c r="F14" s="104"/>
      <c r="G14" s="104"/>
      <c r="H14" s="105">
        <f>+'Sch. 2 - Total'!H14</f>
        <v>1034689</v>
      </c>
      <c r="I14" s="106" t="s">
        <v>103</v>
      </c>
      <c r="J14" s="104"/>
      <c r="K14" s="104"/>
    </row>
    <row r="15" spans="1:16">
      <c r="A15" s="115">
        <v>6</v>
      </c>
      <c r="B15" s="113" t="s">
        <v>63</v>
      </c>
      <c r="C15" s="104"/>
      <c r="D15" s="114"/>
      <c r="E15" s="104"/>
      <c r="F15" s="104"/>
      <c r="G15" s="104"/>
      <c r="H15" s="105">
        <f>+'Sch. 2 - Total'!H15</f>
        <v>66747</v>
      </c>
      <c r="I15" s="106" t="s">
        <v>103</v>
      </c>
      <c r="J15" s="104"/>
      <c r="K15" s="104"/>
    </row>
    <row r="16" spans="1:16">
      <c r="A16" s="129"/>
      <c r="B16" s="129"/>
      <c r="C16" s="129"/>
      <c r="D16" s="129"/>
      <c r="E16" s="129"/>
      <c r="F16" s="129"/>
      <c r="G16" s="129"/>
      <c r="H16" s="129"/>
      <c r="I16" s="130"/>
      <c r="J16" s="129"/>
      <c r="K16" s="129"/>
    </row>
    <row r="17" spans="1:12" ht="15" thickBot="1">
      <c r="A17" s="115">
        <v>7</v>
      </c>
      <c r="B17" s="116" t="s">
        <v>3</v>
      </c>
      <c r="C17" s="116"/>
      <c r="D17" s="116"/>
      <c r="E17" s="116"/>
      <c r="F17" s="116"/>
      <c r="G17" s="116"/>
      <c r="H17" s="117">
        <f>H13</f>
        <v>260384</v>
      </c>
      <c r="I17" s="106" t="s">
        <v>59</v>
      </c>
      <c r="J17" s="105"/>
      <c r="K17" s="105"/>
    </row>
    <row r="18" spans="1:12">
      <c r="A18" s="115"/>
      <c r="B18" s="104"/>
      <c r="C18" s="104"/>
      <c r="D18" s="104"/>
      <c r="E18" s="104"/>
      <c r="F18" s="104"/>
      <c r="G18" s="104"/>
      <c r="H18" s="105"/>
      <c r="I18" s="106"/>
      <c r="J18" s="104"/>
      <c r="K18" s="104"/>
    </row>
    <row r="19" spans="1:12">
      <c r="A19" s="115">
        <v>8</v>
      </c>
      <c r="B19" s="104" t="str">
        <f>'Sch. 2 - BHP'!B19</f>
        <v>Common Use AC Facility Transmission Load (2024 Actual Load)</v>
      </c>
      <c r="C19" s="104"/>
      <c r="D19" s="104"/>
      <c r="E19" s="104"/>
      <c r="F19" s="104"/>
      <c r="G19" s="104"/>
      <c r="H19" s="118">
        <f>+'CUS AC LOADS'!I24*1000</f>
        <v>964333.33333333337</v>
      </c>
      <c r="I19" s="106" t="s">
        <v>64</v>
      </c>
      <c r="J19" s="132"/>
    </row>
    <row r="20" spans="1:12">
      <c r="A20" s="129"/>
      <c r="B20" s="129"/>
      <c r="C20" s="129"/>
      <c r="D20" s="129"/>
      <c r="E20" s="129"/>
      <c r="F20" s="129"/>
      <c r="G20" s="133"/>
      <c r="H20" s="129"/>
      <c r="I20" s="130"/>
      <c r="J20" s="129"/>
      <c r="K20" s="129"/>
    </row>
    <row r="21" spans="1:12">
      <c r="A21" s="115">
        <v>9</v>
      </c>
      <c r="B21" s="104" t="s">
        <v>5</v>
      </c>
      <c r="C21" s="104"/>
      <c r="D21" s="104"/>
      <c r="E21" s="104"/>
      <c r="F21" s="104"/>
      <c r="G21" s="104"/>
      <c r="H21" s="120">
        <f>ROUND(H17/H19,4)</f>
        <v>0.27</v>
      </c>
      <c r="I21" s="106" t="str">
        <f>+'Sch. 2 - BHP'!I21</f>
        <v>$ per kW - Year   (Ln 7/ Ln 8)</v>
      </c>
      <c r="J21" s="121"/>
      <c r="K21" s="129"/>
      <c r="L21" s="137"/>
    </row>
    <row r="22" spans="1:12">
      <c r="A22" s="129"/>
      <c r="B22" s="129"/>
      <c r="C22" s="129"/>
      <c r="D22" s="129"/>
      <c r="E22" s="129"/>
      <c r="F22" s="129"/>
      <c r="G22" s="129"/>
      <c r="H22" s="134"/>
      <c r="I22" s="130"/>
      <c r="J22" s="135"/>
      <c r="K22" s="135"/>
      <c r="L22" s="124"/>
    </row>
    <row r="23" spans="1:12">
      <c r="A23" s="115">
        <v>10</v>
      </c>
      <c r="B23" s="104"/>
      <c r="C23" s="104"/>
      <c r="D23" s="104"/>
      <c r="E23" s="104"/>
      <c r="F23" s="104"/>
      <c r="G23" s="104"/>
      <c r="H23" s="120">
        <f>ROUND(H21/12,4)</f>
        <v>2.2499999999999999E-2</v>
      </c>
      <c r="I23" s="106" t="str">
        <f>+'Sch. 2 - BHP'!I23</f>
        <v>$ per kW - Month (Ln 9 / 12)</v>
      </c>
      <c r="J23" s="121"/>
      <c r="K23" s="135"/>
      <c r="L23" s="124"/>
    </row>
    <row r="24" spans="1:12">
      <c r="A24" s="129"/>
      <c r="B24" s="129"/>
      <c r="C24" s="129"/>
      <c r="D24" s="129"/>
      <c r="E24" s="129"/>
      <c r="F24" s="129"/>
      <c r="G24" s="129"/>
      <c r="H24" s="134"/>
      <c r="I24" s="130"/>
      <c r="J24" s="129"/>
      <c r="K24" s="129"/>
    </row>
    <row r="25" spans="1:12">
      <c r="A25" s="115">
        <v>11</v>
      </c>
      <c r="B25" s="104"/>
      <c r="C25" s="104"/>
      <c r="D25" s="104"/>
      <c r="E25" s="104"/>
      <c r="F25" s="125"/>
      <c r="G25" s="104"/>
      <c r="H25" s="120">
        <f>ROUND(H21/52,4)</f>
        <v>5.1999999999999998E-3</v>
      </c>
      <c r="I25" s="106" t="str">
        <f>+'Sch. 2 - BHP'!I25</f>
        <v>$ per kW - Week (Ln 9 / 52)</v>
      </c>
      <c r="J25" s="121"/>
      <c r="K25" s="129"/>
    </row>
    <row r="26" spans="1:12">
      <c r="A26" s="129"/>
      <c r="B26" s="129"/>
      <c r="C26" s="129"/>
      <c r="D26" s="129"/>
      <c r="E26" s="129"/>
      <c r="F26" s="129"/>
      <c r="G26" s="129"/>
      <c r="H26" s="134"/>
      <c r="I26" s="130"/>
      <c r="J26" s="129"/>
      <c r="K26" s="129"/>
    </row>
    <row r="27" spans="1:12">
      <c r="A27" s="115">
        <v>12</v>
      </c>
      <c r="B27" s="104"/>
      <c r="C27" s="104"/>
      <c r="D27" s="104"/>
      <c r="E27" s="125"/>
      <c r="F27" s="104"/>
      <c r="G27" s="104"/>
      <c r="H27" s="120">
        <f>ROUND(H21/365,4)</f>
        <v>6.9999999999999999E-4</v>
      </c>
      <c r="I27" s="106" t="str">
        <f>+'Sch. 2 - BHP'!I27</f>
        <v>$ per kW - day off peak (Ln 9 / 365)</v>
      </c>
      <c r="J27" s="121" t="s">
        <v>36</v>
      </c>
      <c r="K27" s="129"/>
    </row>
    <row r="28" spans="1:12">
      <c r="A28" s="115">
        <v>13</v>
      </c>
      <c r="B28" s="104"/>
      <c r="C28" s="104"/>
      <c r="D28" s="104"/>
      <c r="E28" s="125"/>
      <c r="F28" s="104"/>
      <c r="G28" s="104"/>
      <c r="H28" s="120">
        <f>ROUND(H21/312,4)</f>
        <v>8.9999999999999998E-4</v>
      </c>
      <c r="I28" s="106" t="str">
        <f>+'Sch. 2 - BHP'!I28</f>
        <v>$ per kW - day on peak (Ln 9 / 312)</v>
      </c>
      <c r="J28" s="121" t="s">
        <v>117</v>
      </c>
      <c r="K28" s="129"/>
    </row>
    <row r="29" spans="1:12">
      <c r="A29" s="129"/>
      <c r="B29" s="129"/>
      <c r="C29" s="129"/>
      <c r="D29" s="129"/>
      <c r="E29" s="129"/>
      <c r="F29" s="129"/>
      <c r="G29" s="129"/>
      <c r="H29" s="129"/>
      <c r="I29" s="130"/>
      <c r="J29" s="129"/>
      <c r="K29" s="129"/>
    </row>
    <row r="30" spans="1:12">
      <c r="A30" s="115">
        <v>14</v>
      </c>
      <c r="B30" s="104"/>
      <c r="C30" s="104"/>
      <c r="D30" s="104"/>
      <c r="E30" s="104"/>
      <c r="F30" s="104"/>
      <c r="G30" s="104"/>
      <c r="H30" s="121">
        <f>ROUND((H21/8760),5)</f>
        <v>3.0000000000000001E-5</v>
      </c>
      <c r="I30" s="106" t="str">
        <f>+'Sch. 2 - BHP'!I30</f>
        <v>$ per kW - hour off peak (Ln 9 / 8760)</v>
      </c>
      <c r="J30" s="121"/>
      <c r="K30" s="129"/>
    </row>
    <row r="31" spans="1:12">
      <c r="A31" s="115">
        <v>15</v>
      </c>
      <c r="B31" s="104"/>
      <c r="C31" s="104"/>
      <c r="D31" s="104"/>
      <c r="E31" s="104"/>
      <c r="F31" s="104"/>
      <c r="G31" s="104"/>
      <c r="H31" s="121">
        <f>ROUND((H21/4992),5)</f>
        <v>5.0000000000000002E-5</v>
      </c>
      <c r="I31" s="106" t="str">
        <f>+'Sch. 2 - BHP'!I31</f>
        <v>$ per kW - hour on peak (Ln 9 / 4992)</v>
      </c>
      <c r="J31" s="121" t="s">
        <v>35</v>
      </c>
      <c r="K31" s="129"/>
    </row>
    <row r="32" spans="1:12">
      <c r="A32" s="129"/>
      <c r="B32" s="129"/>
      <c r="C32" s="129"/>
      <c r="D32" s="129"/>
      <c r="E32" s="129"/>
      <c r="F32" s="129"/>
      <c r="G32" s="129"/>
      <c r="H32" s="129"/>
      <c r="I32" s="130"/>
      <c r="J32" s="129"/>
      <c r="K32" s="129"/>
    </row>
    <row r="33" spans="1:11">
      <c r="A33" s="129"/>
      <c r="B33" s="129"/>
      <c r="C33" s="129"/>
      <c r="D33" s="129"/>
      <c r="E33" s="129"/>
      <c r="F33" s="129"/>
      <c r="G33" s="129"/>
      <c r="H33" s="129"/>
      <c r="I33" s="130"/>
      <c r="J33" s="129"/>
      <c r="K33" s="129"/>
    </row>
    <row r="34" spans="1:11">
      <c r="A34" s="129"/>
      <c r="B34" s="129"/>
      <c r="C34" s="129"/>
      <c r="D34" s="129"/>
      <c r="E34" s="129"/>
      <c r="F34" s="129"/>
      <c r="G34" s="129"/>
      <c r="I34" s="130"/>
      <c r="K34" s="129"/>
    </row>
  </sheetData>
  <pageMargins left="0.28000000000000003" right="0.33" top="1" bottom="1" header="0.5" footer="0.5"/>
  <pageSetup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4"/>
  <sheetViews>
    <sheetView workbookViewId="0">
      <selection activeCell="H21" sqref="H21"/>
    </sheetView>
  </sheetViews>
  <sheetFormatPr defaultRowHeight="14.25"/>
  <cols>
    <col min="1" max="1" width="9.140625" style="41" bestFit="1" customWidth="1"/>
    <col min="2" max="6" width="9.140625" style="41"/>
    <col min="7" max="7" width="19.85546875" style="41" customWidth="1"/>
    <col min="8" max="8" width="11.140625" style="41" bestFit="1" customWidth="1"/>
    <col min="9" max="9" width="36.7109375" style="107" customWidth="1"/>
    <col min="10" max="10" width="12.85546875" style="41" bestFit="1" customWidth="1"/>
    <col min="11" max="11" width="11.85546875" style="41" customWidth="1"/>
    <col min="12" max="12" width="10.140625" style="41" bestFit="1" customWidth="1"/>
    <col min="13" max="16384" width="9.140625" style="41"/>
  </cols>
  <sheetData>
    <row r="1" spans="1:16" ht="15">
      <c r="A1" s="103" t="s">
        <v>0</v>
      </c>
      <c r="B1" s="104"/>
      <c r="C1" s="104"/>
      <c r="D1" s="104"/>
      <c r="E1" s="104"/>
      <c r="F1" s="104"/>
      <c r="G1" s="104"/>
      <c r="H1" s="105"/>
      <c r="I1" s="106"/>
      <c r="J1" s="104"/>
      <c r="K1" s="104"/>
    </row>
    <row r="2" spans="1:16" ht="15">
      <c r="A2" s="103" t="s">
        <v>1</v>
      </c>
      <c r="B2" s="104"/>
      <c r="C2" s="104"/>
      <c r="D2" s="104"/>
      <c r="E2" s="104"/>
      <c r="F2" s="104"/>
      <c r="G2" s="104"/>
      <c r="H2" s="105"/>
      <c r="K2" s="108" t="str">
        <f>+'Under-Over Recovery'!J2</f>
        <v>Black Hills Power, Inc.</v>
      </c>
    </row>
    <row r="3" spans="1:16" ht="15">
      <c r="A3" s="103" t="s">
        <v>2</v>
      </c>
      <c r="B3" s="104"/>
      <c r="C3" s="104"/>
      <c r="D3" s="104"/>
      <c r="E3" s="104"/>
      <c r="F3" s="104"/>
      <c r="G3" s="104"/>
      <c r="H3" s="105"/>
      <c r="I3" s="106"/>
      <c r="J3" s="104"/>
      <c r="K3" s="108" t="str">
        <f>+'Under-Over Recovery'!J3</f>
        <v>May 31, 2025</v>
      </c>
    </row>
    <row r="4" spans="1:16" ht="15">
      <c r="A4" s="103"/>
      <c r="B4" s="104"/>
      <c r="C4" s="104"/>
      <c r="D4" s="104"/>
      <c r="E4" s="104"/>
      <c r="F4" s="104"/>
      <c r="G4" s="104"/>
      <c r="H4" s="105"/>
      <c r="I4" s="106"/>
      <c r="K4" s="104"/>
      <c r="P4" s="104"/>
    </row>
    <row r="5" spans="1:16">
      <c r="A5" s="129"/>
      <c r="B5" s="129"/>
      <c r="C5" s="129"/>
      <c r="D5" s="129"/>
      <c r="E5" s="129"/>
      <c r="F5" s="129"/>
      <c r="G5" s="129"/>
      <c r="H5" s="129"/>
      <c r="I5" s="130"/>
      <c r="J5" s="129"/>
      <c r="K5" s="129"/>
    </row>
    <row r="6" spans="1:16">
      <c r="A6" s="129"/>
      <c r="B6" s="129"/>
      <c r="C6" s="129"/>
      <c r="D6" s="129"/>
      <c r="E6" s="129"/>
      <c r="F6" s="129"/>
      <c r="G6" s="129"/>
      <c r="H6" s="129"/>
      <c r="I6" s="130"/>
      <c r="J6" s="129"/>
      <c r="K6" s="129"/>
    </row>
    <row r="7" spans="1:16">
      <c r="A7" s="129"/>
      <c r="B7" s="129"/>
      <c r="C7" s="129"/>
      <c r="D7" s="129"/>
      <c r="E7" s="129"/>
      <c r="F7" s="129"/>
      <c r="G7" s="129"/>
      <c r="H7" s="129"/>
      <c r="I7" s="130"/>
      <c r="J7" s="129"/>
      <c r="K7" s="129"/>
    </row>
    <row r="8" spans="1:16">
      <c r="A8" s="131" t="s">
        <v>31</v>
      </c>
      <c r="B8" s="129"/>
      <c r="C8" s="129"/>
      <c r="D8" s="129"/>
      <c r="E8" s="129"/>
      <c r="F8" s="129"/>
      <c r="G8" s="129"/>
      <c r="H8" s="129"/>
      <c r="I8" s="130"/>
      <c r="J8" s="129"/>
      <c r="K8" s="129"/>
    </row>
    <row r="9" spans="1:16">
      <c r="A9" s="112" t="s">
        <v>32</v>
      </c>
      <c r="B9" s="113"/>
      <c r="C9" s="104"/>
      <c r="D9" s="114"/>
      <c r="E9" s="104"/>
      <c r="F9" s="104"/>
      <c r="G9" s="104"/>
      <c r="H9" s="129"/>
      <c r="I9" s="106"/>
      <c r="J9" s="104"/>
      <c r="K9" s="104"/>
    </row>
    <row r="10" spans="1:16">
      <c r="A10" s="115">
        <v>1</v>
      </c>
      <c r="B10" s="113" t="s">
        <v>60</v>
      </c>
      <c r="C10" s="104"/>
      <c r="D10" s="114"/>
      <c r="E10" s="104"/>
      <c r="F10" s="104"/>
      <c r="G10" s="104"/>
      <c r="H10" s="105">
        <f>+'Sch. 2 - Total'!H10</f>
        <v>1660052</v>
      </c>
      <c r="I10" s="106" t="s">
        <v>51</v>
      </c>
      <c r="J10" s="104"/>
      <c r="K10" s="104"/>
    </row>
    <row r="11" spans="1:16">
      <c r="A11" s="115">
        <v>2</v>
      </c>
      <c r="B11" s="113" t="s">
        <v>50</v>
      </c>
      <c r="C11" s="104"/>
      <c r="D11" s="114"/>
      <c r="E11" s="104"/>
      <c r="F11" s="104"/>
      <c r="G11" s="104"/>
      <c r="H11" s="105">
        <f>+'Sch. 2 - Total'!H11</f>
        <v>296353</v>
      </c>
      <c r="I11" s="106" t="s">
        <v>113</v>
      </c>
      <c r="J11" s="104"/>
      <c r="K11" s="104"/>
    </row>
    <row r="12" spans="1:16">
      <c r="A12" s="115">
        <v>3</v>
      </c>
      <c r="B12" s="113" t="s">
        <v>53</v>
      </c>
      <c r="C12" s="104"/>
      <c r="D12" s="114"/>
      <c r="E12" s="104"/>
      <c r="F12" s="104"/>
      <c r="G12" s="104"/>
      <c r="H12" s="105">
        <f>+'Sch. 2 - Total'!H12</f>
        <v>601062</v>
      </c>
      <c r="I12" s="106" t="s">
        <v>55</v>
      </c>
      <c r="J12" s="104"/>
      <c r="K12" s="104"/>
    </row>
    <row r="13" spans="1:16">
      <c r="A13" s="115">
        <v>4</v>
      </c>
      <c r="B13" s="113" t="s">
        <v>52</v>
      </c>
      <c r="C13" s="104"/>
      <c r="D13" s="114"/>
      <c r="E13" s="104"/>
      <c r="F13" s="104"/>
      <c r="G13" s="104"/>
      <c r="H13" s="105">
        <f>+'Sch. 2 - Total'!H13</f>
        <v>260384</v>
      </c>
      <c r="I13" s="106" t="s">
        <v>54</v>
      </c>
      <c r="J13" s="104"/>
      <c r="K13" s="104"/>
    </row>
    <row r="14" spans="1:16">
      <c r="A14" s="115">
        <v>5</v>
      </c>
      <c r="B14" s="113" t="s">
        <v>62</v>
      </c>
      <c r="C14" s="104"/>
      <c r="D14" s="114"/>
      <c r="E14" s="104"/>
      <c r="F14" s="104"/>
      <c r="G14" s="104"/>
      <c r="H14" s="105">
        <f>+'Sch. 2 - Total'!H14</f>
        <v>1034689</v>
      </c>
      <c r="I14" s="106" t="s">
        <v>103</v>
      </c>
      <c r="J14" s="104"/>
      <c r="K14" s="104"/>
    </row>
    <row r="15" spans="1:16">
      <c r="A15" s="115">
        <v>6</v>
      </c>
      <c r="B15" s="113" t="s">
        <v>63</v>
      </c>
      <c r="C15" s="104"/>
      <c r="D15" s="114"/>
      <c r="E15" s="104"/>
      <c r="F15" s="104"/>
      <c r="G15" s="104"/>
      <c r="H15" s="105">
        <f>+'Sch. 2 - Total'!H15</f>
        <v>66747</v>
      </c>
      <c r="I15" s="106" t="s">
        <v>103</v>
      </c>
      <c r="J15" s="104"/>
      <c r="K15" s="104"/>
    </row>
    <row r="16" spans="1:16">
      <c r="A16" s="129"/>
      <c r="B16" s="129"/>
      <c r="C16" s="129"/>
      <c r="D16" s="129"/>
      <c r="E16" s="129"/>
      <c r="F16" s="129"/>
      <c r="G16" s="129"/>
      <c r="H16" s="129"/>
      <c r="I16" s="130"/>
      <c r="J16" s="129"/>
      <c r="K16" s="129"/>
    </row>
    <row r="17" spans="1:12" ht="15" thickBot="1">
      <c r="A17" s="115">
        <v>7</v>
      </c>
      <c r="B17" s="116" t="s">
        <v>3</v>
      </c>
      <c r="C17" s="116"/>
      <c r="D17" s="116"/>
      <c r="E17" s="116"/>
      <c r="F17" s="116"/>
      <c r="G17" s="116"/>
      <c r="H17" s="117">
        <f>H14</f>
        <v>1034689</v>
      </c>
      <c r="I17" s="106" t="s">
        <v>65</v>
      </c>
      <c r="J17" s="105"/>
      <c r="K17" s="105"/>
    </row>
    <row r="18" spans="1:12">
      <c r="A18" s="115"/>
      <c r="B18" s="104"/>
      <c r="C18" s="104"/>
      <c r="D18" s="104"/>
      <c r="E18" s="104"/>
      <c r="F18" s="104"/>
      <c r="G18" s="104"/>
      <c r="H18" s="105"/>
      <c r="I18" s="106"/>
      <c r="J18" s="104"/>
      <c r="K18" s="104"/>
    </row>
    <row r="19" spans="1:12">
      <c r="A19" s="115">
        <v>8</v>
      </c>
      <c r="B19" s="104" t="str">
        <f>'Sch. 2 - BHP'!B19</f>
        <v>Common Use AC Facility Transmission Load (2024 Actual Load)</v>
      </c>
      <c r="C19" s="104"/>
      <c r="D19" s="104"/>
      <c r="E19" s="104"/>
      <c r="F19" s="104"/>
      <c r="G19" s="104"/>
      <c r="H19" s="118">
        <f>+'CUS AC LOADS'!I24*1000</f>
        <v>964333.33333333337</v>
      </c>
      <c r="I19" s="106" t="s">
        <v>64</v>
      </c>
      <c r="J19" s="132"/>
    </row>
    <row r="20" spans="1:12">
      <c r="A20" s="129"/>
      <c r="B20" s="129"/>
      <c r="C20" s="129"/>
      <c r="D20" s="129"/>
      <c r="E20" s="129"/>
      <c r="F20" s="129"/>
      <c r="G20" s="133"/>
      <c r="H20" s="129"/>
      <c r="I20" s="130"/>
      <c r="J20" s="129"/>
      <c r="K20" s="129"/>
    </row>
    <row r="21" spans="1:12">
      <c r="A21" s="115">
        <v>9</v>
      </c>
      <c r="B21" s="104" t="s">
        <v>5</v>
      </c>
      <c r="C21" s="104"/>
      <c r="D21" s="104"/>
      <c r="E21" s="104"/>
      <c r="F21" s="104"/>
      <c r="G21" s="104"/>
      <c r="H21" s="120">
        <f>ROUND(H17/H19,4)</f>
        <v>1.073</v>
      </c>
      <c r="I21" s="106" t="str">
        <f>+'Sch. 2 - BHP'!I21</f>
        <v>$ per kW - Year   (Ln 7/ Ln 8)</v>
      </c>
      <c r="J21" s="121"/>
      <c r="K21" s="129"/>
      <c r="L21" s="137"/>
    </row>
    <row r="22" spans="1:12">
      <c r="A22" s="129"/>
      <c r="B22" s="129"/>
      <c r="C22" s="129"/>
      <c r="D22" s="129"/>
      <c r="E22" s="129"/>
      <c r="F22" s="129"/>
      <c r="G22" s="129"/>
      <c r="H22" s="134"/>
      <c r="I22" s="130"/>
      <c r="J22" s="135"/>
      <c r="K22" s="135"/>
      <c r="L22" s="124"/>
    </row>
    <row r="23" spans="1:12">
      <c r="A23" s="115">
        <v>10</v>
      </c>
      <c r="B23" s="104"/>
      <c r="C23" s="104"/>
      <c r="D23" s="104"/>
      <c r="E23" s="104"/>
      <c r="F23" s="104"/>
      <c r="G23" s="104"/>
      <c r="H23" s="120">
        <f>ROUND(H21/12,4)</f>
        <v>8.9399999999999993E-2</v>
      </c>
      <c r="I23" s="106" t="str">
        <f>+'Sch. 2 - BHP'!I23</f>
        <v>$ per kW - Month (Ln 9 / 12)</v>
      </c>
      <c r="J23" s="121"/>
      <c r="K23" s="135"/>
      <c r="L23" s="124"/>
    </row>
    <row r="24" spans="1:12">
      <c r="A24" s="129"/>
      <c r="B24" s="129"/>
      <c r="C24" s="129"/>
      <c r="D24" s="129"/>
      <c r="E24" s="129"/>
      <c r="F24" s="129"/>
      <c r="G24" s="129"/>
      <c r="H24" s="134"/>
      <c r="I24" s="130"/>
      <c r="J24" s="129"/>
      <c r="K24" s="129"/>
    </row>
    <row r="25" spans="1:12">
      <c r="A25" s="115">
        <v>11</v>
      </c>
      <c r="B25" s="104"/>
      <c r="C25" s="104"/>
      <c r="D25" s="104"/>
      <c r="E25" s="104"/>
      <c r="F25" s="125"/>
      <c r="G25" s="104"/>
      <c r="H25" s="120">
        <f>ROUND(H21/52,4)</f>
        <v>2.06E-2</v>
      </c>
      <c r="I25" s="106" t="str">
        <f>+'Sch. 2 - BHP'!I25</f>
        <v>$ per kW - Week (Ln 9 / 52)</v>
      </c>
      <c r="J25" s="121"/>
      <c r="K25" s="129"/>
    </row>
    <row r="26" spans="1:12">
      <c r="A26" s="129"/>
      <c r="B26" s="129"/>
      <c r="C26" s="129"/>
      <c r="D26" s="129"/>
      <c r="E26" s="129"/>
      <c r="F26" s="129"/>
      <c r="G26" s="129"/>
      <c r="H26" s="134"/>
      <c r="I26" s="130"/>
      <c r="J26" s="129"/>
      <c r="K26" s="129"/>
    </row>
    <row r="27" spans="1:12">
      <c r="A27" s="115">
        <v>12</v>
      </c>
      <c r="B27" s="104"/>
      <c r="C27" s="104"/>
      <c r="D27" s="104"/>
      <c r="E27" s="125"/>
      <c r="F27" s="104"/>
      <c r="G27" s="104"/>
      <c r="H27" s="120">
        <f>ROUND(H21/365,4)</f>
        <v>2.8999999999999998E-3</v>
      </c>
      <c r="I27" s="106" t="str">
        <f>+'Sch. 2 - BHP'!I27</f>
        <v>$ per kW - day off peak (Ln 9 / 365)</v>
      </c>
      <c r="J27" s="121" t="s">
        <v>36</v>
      </c>
      <c r="K27" s="129"/>
    </row>
    <row r="28" spans="1:12">
      <c r="A28" s="115">
        <v>13</v>
      </c>
      <c r="B28" s="104"/>
      <c r="C28" s="104"/>
      <c r="D28" s="104"/>
      <c r="E28" s="125"/>
      <c r="F28" s="104"/>
      <c r="G28" s="104"/>
      <c r="H28" s="120">
        <f>ROUND(H21/312,4)</f>
        <v>3.3999999999999998E-3</v>
      </c>
      <c r="I28" s="106" t="str">
        <f>+'Sch. 2 - BHP'!I28</f>
        <v>$ per kW - day on peak (Ln 9 / 312)</v>
      </c>
      <c r="J28" s="121" t="s">
        <v>117</v>
      </c>
      <c r="K28" s="129"/>
    </row>
    <row r="29" spans="1:12">
      <c r="A29" s="129"/>
      <c r="B29" s="129"/>
      <c r="C29" s="129"/>
      <c r="D29" s="129"/>
      <c r="E29" s="129"/>
      <c r="F29" s="129"/>
      <c r="G29" s="129"/>
      <c r="H29" s="129"/>
      <c r="I29" s="130"/>
      <c r="J29" s="129"/>
      <c r="K29" s="129"/>
    </row>
    <row r="30" spans="1:12">
      <c r="A30" s="115">
        <v>14</v>
      </c>
      <c r="B30" s="104"/>
      <c r="C30" s="104"/>
      <c r="D30" s="104"/>
      <c r="E30" s="104"/>
      <c r="F30" s="104"/>
      <c r="G30" s="104"/>
      <c r="H30" s="121">
        <f>ROUND((H21/8760),5)</f>
        <v>1.2E-4</v>
      </c>
      <c r="I30" s="106" t="str">
        <f>+'Sch. 2 - BHP'!I30</f>
        <v>$ per kW - hour off peak (Ln 9 / 8760)</v>
      </c>
      <c r="J30" s="121"/>
      <c r="K30" s="129"/>
    </row>
    <row r="31" spans="1:12">
      <c r="A31" s="115">
        <v>15</v>
      </c>
      <c r="B31" s="104"/>
      <c r="C31" s="104"/>
      <c r="D31" s="104"/>
      <c r="E31" s="104"/>
      <c r="F31" s="104"/>
      <c r="G31" s="104"/>
      <c r="H31" s="121">
        <f>ROUND((H21/4992),5)</f>
        <v>2.1000000000000001E-4</v>
      </c>
      <c r="I31" s="106" t="str">
        <f>+'Sch. 2 - BHP'!I31</f>
        <v>$ per kW - hour on peak (Ln 9 / 4992)</v>
      </c>
      <c r="J31" s="121" t="s">
        <v>35</v>
      </c>
      <c r="K31" s="129"/>
    </row>
    <row r="32" spans="1:12">
      <c r="A32" s="129"/>
      <c r="B32" s="129"/>
      <c r="C32" s="129"/>
      <c r="D32" s="129"/>
      <c r="E32" s="129"/>
      <c r="F32" s="129"/>
      <c r="G32" s="129"/>
      <c r="H32" s="129"/>
      <c r="I32" s="130"/>
      <c r="J32" s="129"/>
      <c r="K32" s="129"/>
    </row>
    <row r="33" spans="1:11">
      <c r="A33" s="129"/>
      <c r="B33" s="129"/>
      <c r="C33" s="129"/>
      <c r="D33" s="129"/>
      <c r="E33" s="129"/>
      <c r="F33" s="129"/>
      <c r="G33" s="129"/>
      <c r="H33" s="129"/>
      <c r="I33" s="130"/>
      <c r="J33" s="129"/>
      <c r="K33" s="129"/>
    </row>
    <row r="34" spans="1:11">
      <c r="A34" s="129"/>
      <c r="B34" s="129"/>
      <c r="C34" s="129"/>
      <c r="D34" s="129"/>
      <c r="E34" s="129"/>
      <c r="F34" s="129"/>
      <c r="G34" s="129"/>
      <c r="I34" s="130"/>
      <c r="K34" s="129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4"/>
  <sheetViews>
    <sheetView workbookViewId="0">
      <selection activeCell="O17" sqref="O17"/>
    </sheetView>
  </sheetViews>
  <sheetFormatPr defaultRowHeight="14.25"/>
  <cols>
    <col min="1" max="1" width="9.140625" style="41" bestFit="1" customWidth="1"/>
    <col min="2" max="6" width="9.140625" style="41"/>
    <col min="7" max="7" width="16.140625" style="41" customWidth="1"/>
    <col min="8" max="8" width="11.140625" style="41" bestFit="1" customWidth="1"/>
    <col min="9" max="9" width="37.28515625" style="107" customWidth="1"/>
    <col min="10" max="10" width="12.85546875" style="41" bestFit="1" customWidth="1"/>
    <col min="11" max="11" width="11.85546875" style="41" customWidth="1"/>
    <col min="12" max="12" width="10.140625" style="41" bestFit="1" customWidth="1"/>
    <col min="13" max="16384" width="9.140625" style="41"/>
  </cols>
  <sheetData>
    <row r="1" spans="1:16" ht="15">
      <c r="A1" s="103" t="s">
        <v>0</v>
      </c>
      <c r="B1" s="104"/>
      <c r="C1" s="104"/>
      <c r="D1" s="104"/>
      <c r="E1" s="104"/>
      <c r="F1" s="104"/>
      <c r="G1" s="104"/>
      <c r="H1" s="105"/>
      <c r="I1" s="106"/>
      <c r="J1" s="104"/>
      <c r="K1" s="104"/>
    </row>
    <row r="2" spans="1:16" ht="15">
      <c r="A2" s="103" t="s">
        <v>1</v>
      </c>
      <c r="B2" s="104"/>
      <c r="C2" s="104"/>
      <c r="D2" s="104"/>
      <c r="E2" s="104"/>
      <c r="F2" s="104"/>
      <c r="G2" s="104"/>
      <c r="H2" s="105"/>
      <c r="K2" s="108" t="str">
        <f>+'Under-Over Recovery'!J2</f>
        <v>Black Hills Power, Inc.</v>
      </c>
    </row>
    <row r="3" spans="1:16" ht="15">
      <c r="A3" s="103" t="s">
        <v>2</v>
      </c>
      <c r="B3" s="104"/>
      <c r="C3" s="104"/>
      <c r="D3" s="104"/>
      <c r="E3" s="104"/>
      <c r="F3" s="104"/>
      <c r="G3" s="104"/>
      <c r="H3" s="105"/>
      <c r="I3" s="106"/>
      <c r="J3" s="104"/>
      <c r="K3" s="108" t="str">
        <f>+'Under-Over Recovery'!J3</f>
        <v>May 31, 2025</v>
      </c>
    </row>
    <row r="4" spans="1:16" ht="15">
      <c r="A4" s="103"/>
      <c r="B4" s="104"/>
      <c r="C4" s="104"/>
      <c r="D4" s="104"/>
      <c r="E4" s="104"/>
      <c r="F4" s="104"/>
      <c r="G4" s="104"/>
      <c r="H4" s="105"/>
      <c r="I4" s="106"/>
      <c r="K4" s="104"/>
      <c r="P4" s="104"/>
    </row>
    <row r="5" spans="1:16">
      <c r="A5" s="129"/>
      <c r="B5" s="129"/>
      <c r="C5" s="129"/>
      <c r="D5" s="129"/>
      <c r="E5" s="129"/>
      <c r="F5" s="129"/>
      <c r="G5" s="129"/>
      <c r="H5" s="129"/>
      <c r="I5" s="130"/>
      <c r="J5" s="129"/>
      <c r="K5" s="129"/>
    </row>
    <row r="6" spans="1:16">
      <c r="A6" s="129"/>
      <c r="B6" s="129"/>
      <c r="C6" s="129"/>
      <c r="D6" s="129"/>
      <c r="E6" s="129"/>
      <c r="F6" s="129"/>
      <c r="G6" s="129"/>
      <c r="H6" s="129"/>
      <c r="I6" s="130"/>
      <c r="J6" s="129"/>
      <c r="K6" s="129"/>
    </row>
    <row r="7" spans="1:16">
      <c r="A7" s="129"/>
      <c r="B7" s="129"/>
      <c r="C7" s="129"/>
      <c r="D7" s="129"/>
      <c r="E7" s="129"/>
      <c r="F7" s="129"/>
      <c r="G7" s="129"/>
      <c r="H7" s="129"/>
      <c r="I7" s="130"/>
      <c r="J7" s="129"/>
      <c r="K7" s="129"/>
    </row>
    <row r="8" spans="1:16">
      <c r="A8" s="131" t="s">
        <v>31</v>
      </c>
      <c r="B8" s="129"/>
      <c r="C8" s="129"/>
      <c r="D8" s="129"/>
      <c r="E8" s="129"/>
      <c r="F8" s="129"/>
      <c r="G8" s="129"/>
      <c r="H8" s="129"/>
      <c r="I8" s="130"/>
      <c r="J8" s="129"/>
      <c r="K8" s="129"/>
    </row>
    <row r="9" spans="1:16">
      <c r="A9" s="112" t="s">
        <v>32</v>
      </c>
      <c r="B9" s="113"/>
      <c r="C9" s="104"/>
      <c r="D9" s="114"/>
      <c r="E9" s="104"/>
      <c r="F9" s="104"/>
      <c r="G9" s="104"/>
      <c r="H9" s="129"/>
      <c r="I9" s="106"/>
      <c r="J9" s="104"/>
      <c r="K9" s="104"/>
    </row>
    <row r="10" spans="1:16">
      <c r="A10" s="115">
        <v>1</v>
      </c>
      <c r="B10" s="113" t="s">
        <v>60</v>
      </c>
      <c r="C10" s="104"/>
      <c r="D10" s="114"/>
      <c r="E10" s="104"/>
      <c r="F10" s="104"/>
      <c r="G10" s="104"/>
      <c r="H10" s="105">
        <f>+'Sch. 2 - Total'!H10</f>
        <v>1660052</v>
      </c>
      <c r="I10" s="106" t="s">
        <v>51</v>
      </c>
      <c r="J10" s="104"/>
      <c r="K10" s="104"/>
    </row>
    <row r="11" spans="1:16">
      <c r="A11" s="115">
        <v>2</v>
      </c>
      <c r="B11" s="113" t="s">
        <v>50</v>
      </c>
      <c r="C11" s="104"/>
      <c r="D11" s="114"/>
      <c r="E11" s="104"/>
      <c r="F11" s="104"/>
      <c r="G11" s="104"/>
      <c r="H11" s="105">
        <f>+'Sch. 2 - Total'!H11</f>
        <v>296353</v>
      </c>
      <c r="I11" s="106" t="s">
        <v>113</v>
      </c>
      <c r="J11" s="104"/>
      <c r="K11" s="104"/>
    </row>
    <row r="12" spans="1:16">
      <c r="A12" s="115">
        <v>3</v>
      </c>
      <c r="B12" s="113" t="s">
        <v>53</v>
      </c>
      <c r="C12" s="104"/>
      <c r="D12" s="114"/>
      <c r="E12" s="104"/>
      <c r="F12" s="104"/>
      <c r="G12" s="104"/>
      <c r="H12" s="105">
        <f>+'Sch. 2 - Total'!H12</f>
        <v>601062</v>
      </c>
      <c r="I12" s="106" t="s">
        <v>55</v>
      </c>
      <c r="J12" s="104"/>
      <c r="K12" s="104"/>
    </row>
    <row r="13" spans="1:16">
      <c r="A13" s="115">
        <v>4</v>
      </c>
      <c r="B13" s="113" t="s">
        <v>52</v>
      </c>
      <c r="C13" s="104"/>
      <c r="D13" s="114"/>
      <c r="E13" s="104"/>
      <c r="F13" s="104"/>
      <c r="G13" s="104"/>
      <c r="H13" s="105">
        <f>+'Sch. 2 - Total'!H13</f>
        <v>260384</v>
      </c>
      <c r="I13" s="106" t="s">
        <v>54</v>
      </c>
      <c r="J13" s="104"/>
      <c r="K13" s="104"/>
    </row>
    <row r="14" spans="1:16">
      <c r="A14" s="115">
        <v>5</v>
      </c>
      <c r="B14" s="113" t="s">
        <v>62</v>
      </c>
      <c r="C14" s="104"/>
      <c r="D14" s="114"/>
      <c r="E14" s="104"/>
      <c r="F14" s="104"/>
      <c r="G14" s="104"/>
      <c r="H14" s="105">
        <f>+'Sch. 2 - Total'!H14</f>
        <v>1034689</v>
      </c>
      <c r="I14" s="106" t="s">
        <v>103</v>
      </c>
      <c r="J14" s="104"/>
      <c r="K14" s="104"/>
    </row>
    <row r="15" spans="1:16">
      <c r="A15" s="115">
        <v>6</v>
      </c>
      <c r="B15" s="113" t="s">
        <v>63</v>
      </c>
      <c r="C15" s="104"/>
      <c r="D15" s="114"/>
      <c r="E15" s="104"/>
      <c r="F15" s="104"/>
      <c r="G15" s="104"/>
      <c r="H15" s="105">
        <f>+'Sch. 2 - Total'!H15</f>
        <v>66747</v>
      </c>
      <c r="I15" s="106" t="s">
        <v>103</v>
      </c>
      <c r="J15" s="104"/>
      <c r="K15" s="104"/>
    </row>
    <row r="16" spans="1:16">
      <c r="A16" s="129"/>
      <c r="B16" s="129"/>
      <c r="C16" s="129"/>
      <c r="D16" s="129"/>
      <c r="E16" s="129"/>
      <c r="F16" s="129"/>
      <c r="G16" s="129"/>
      <c r="H16" s="129"/>
      <c r="I16" s="130"/>
      <c r="J16" s="129"/>
      <c r="K16" s="129"/>
    </row>
    <row r="17" spans="1:12" ht="15" thickBot="1">
      <c r="A17" s="115">
        <v>7</v>
      </c>
      <c r="B17" s="116" t="s">
        <v>3</v>
      </c>
      <c r="C17" s="116"/>
      <c r="D17" s="116"/>
      <c r="E17" s="116"/>
      <c r="F17" s="116"/>
      <c r="G17" s="116"/>
      <c r="H17" s="117">
        <f>H15</f>
        <v>66747</v>
      </c>
      <c r="I17" s="106" t="s">
        <v>66</v>
      </c>
      <c r="J17" s="105"/>
      <c r="K17" s="105"/>
    </row>
    <row r="18" spans="1:12">
      <c r="A18" s="115"/>
      <c r="B18" s="104"/>
      <c r="C18" s="104"/>
      <c r="D18" s="104"/>
      <c r="E18" s="104"/>
      <c r="F18" s="104"/>
      <c r="G18" s="104"/>
      <c r="H18" s="105"/>
      <c r="I18" s="106"/>
      <c r="J18" s="104"/>
      <c r="K18" s="104"/>
    </row>
    <row r="19" spans="1:12">
      <c r="A19" s="115">
        <v>8</v>
      </c>
      <c r="B19" s="104" t="str">
        <f>'Sch. 2 - BHP'!B19</f>
        <v>Common Use AC Facility Transmission Load (2024 Actual Load)</v>
      </c>
      <c r="C19" s="104"/>
      <c r="D19" s="104"/>
      <c r="E19" s="104"/>
      <c r="F19" s="104"/>
      <c r="G19" s="104"/>
      <c r="H19" s="118">
        <f>+'CUS AC LOADS'!I24*1000</f>
        <v>964333.33333333337</v>
      </c>
      <c r="I19" s="106" t="s">
        <v>64</v>
      </c>
      <c r="J19" s="132"/>
    </row>
    <row r="20" spans="1:12">
      <c r="A20" s="129"/>
      <c r="B20" s="129"/>
      <c r="C20" s="129"/>
      <c r="D20" s="129"/>
      <c r="E20" s="129"/>
      <c r="F20" s="129"/>
      <c r="G20" s="133"/>
      <c r="H20" s="129"/>
      <c r="I20" s="130"/>
      <c r="J20" s="129"/>
      <c r="K20" s="129"/>
    </row>
    <row r="21" spans="1:12">
      <c r="A21" s="115">
        <v>9</v>
      </c>
      <c r="B21" s="104" t="s">
        <v>5</v>
      </c>
      <c r="C21" s="104"/>
      <c r="D21" s="104"/>
      <c r="E21" s="104"/>
      <c r="F21" s="104"/>
      <c r="G21" s="104"/>
      <c r="H21" s="120">
        <f>ROUND(H17/H19,4)</f>
        <v>6.9199999999999998E-2</v>
      </c>
      <c r="I21" s="106" t="str">
        <f>+'Sch. 2 - BHP'!I21</f>
        <v>$ per kW - Year   (Ln 7/ Ln 8)</v>
      </c>
      <c r="J21" s="121"/>
      <c r="K21" s="129"/>
    </row>
    <row r="22" spans="1:12">
      <c r="A22" s="129"/>
      <c r="B22" s="129"/>
      <c r="C22" s="129"/>
      <c r="D22" s="129"/>
      <c r="E22" s="129"/>
      <c r="F22" s="129"/>
      <c r="G22" s="129"/>
      <c r="H22" s="134"/>
      <c r="I22" s="130"/>
      <c r="J22" s="135"/>
      <c r="K22" s="135"/>
      <c r="L22" s="136"/>
    </row>
    <row r="23" spans="1:12">
      <c r="A23" s="115">
        <v>10</v>
      </c>
      <c r="B23" s="104"/>
      <c r="C23" s="104"/>
      <c r="D23" s="104"/>
      <c r="E23" s="104"/>
      <c r="F23" s="104"/>
      <c r="G23" s="104"/>
      <c r="H23" s="120">
        <f>ROUND(H21/12,4)</f>
        <v>5.7999999999999996E-3</v>
      </c>
      <c r="I23" s="106" t="str">
        <f>+'Sch. 2 - BHP'!I23</f>
        <v>$ per kW - Month (Ln 9 / 12)</v>
      </c>
      <c r="J23" s="121"/>
      <c r="K23" s="135"/>
      <c r="L23" s="124"/>
    </row>
    <row r="24" spans="1:12">
      <c r="A24" s="129"/>
      <c r="B24" s="129"/>
      <c r="C24" s="129"/>
      <c r="D24" s="129"/>
      <c r="E24" s="129"/>
      <c r="F24" s="129"/>
      <c r="G24" s="129"/>
      <c r="H24" s="134"/>
      <c r="I24" s="130"/>
      <c r="J24" s="129"/>
      <c r="K24" s="129"/>
    </row>
    <row r="25" spans="1:12">
      <c r="A25" s="115">
        <v>11</v>
      </c>
      <c r="B25" s="104"/>
      <c r="C25" s="104"/>
      <c r="D25" s="104"/>
      <c r="E25" s="104"/>
      <c r="F25" s="125"/>
      <c r="G25" s="104"/>
      <c r="H25" s="120">
        <f>ROUND(H21/52,4)</f>
        <v>1.2999999999999999E-3</v>
      </c>
      <c r="I25" s="106" t="str">
        <f>+'Sch. 2 - BHP'!I25</f>
        <v>$ per kW - Week (Ln 9 / 52)</v>
      </c>
      <c r="J25" s="121"/>
      <c r="K25" s="129"/>
    </row>
    <row r="26" spans="1:12">
      <c r="A26" s="129"/>
      <c r="B26" s="129"/>
      <c r="C26" s="129"/>
      <c r="D26" s="129"/>
      <c r="E26" s="129"/>
      <c r="F26" s="129"/>
      <c r="G26" s="129"/>
      <c r="H26" s="134"/>
      <c r="I26" s="130"/>
      <c r="J26" s="129"/>
      <c r="K26" s="129"/>
    </row>
    <row r="27" spans="1:12">
      <c r="A27" s="115">
        <v>12</v>
      </c>
      <c r="B27" s="104"/>
      <c r="C27" s="104"/>
      <c r="D27" s="104"/>
      <c r="E27" s="125"/>
      <c r="F27" s="104"/>
      <c r="G27" s="104"/>
      <c r="H27" s="120">
        <f>ROUND(H21/365,4)</f>
        <v>2.0000000000000001E-4</v>
      </c>
      <c r="I27" s="106" t="str">
        <f>+'Sch. 2 - BHP'!I27</f>
        <v>$ per kW - day off peak (Ln 9 / 365)</v>
      </c>
      <c r="J27" s="121" t="s">
        <v>36</v>
      </c>
      <c r="K27" s="129"/>
    </row>
    <row r="28" spans="1:12">
      <c r="A28" s="115">
        <v>13</v>
      </c>
      <c r="B28" s="104"/>
      <c r="C28" s="104"/>
      <c r="D28" s="104"/>
      <c r="E28" s="125"/>
      <c r="F28" s="104"/>
      <c r="G28" s="104"/>
      <c r="H28" s="120">
        <f>ROUND(H21/312,4)</f>
        <v>2.0000000000000001E-4</v>
      </c>
      <c r="I28" s="106" t="str">
        <f>+'Sch. 2 - BHP'!I28</f>
        <v>$ per kW - day on peak (Ln 9 / 312)</v>
      </c>
      <c r="J28" s="121" t="s">
        <v>117</v>
      </c>
      <c r="K28" s="129"/>
    </row>
    <row r="29" spans="1:12">
      <c r="A29" s="129"/>
      <c r="B29" s="129"/>
      <c r="C29" s="129"/>
      <c r="D29" s="129"/>
      <c r="E29" s="129"/>
      <c r="F29" s="129"/>
      <c r="G29" s="129"/>
      <c r="H29" s="129"/>
      <c r="I29" s="130"/>
      <c r="J29" s="129"/>
      <c r="K29" s="129"/>
    </row>
    <row r="30" spans="1:12">
      <c r="A30" s="115">
        <v>14</v>
      </c>
      <c r="B30" s="104"/>
      <c r="C30" s="104"/>
      <c r="D30" s="104"/>
      <c r="E30" s="104"/>
      <c r="F30" s="104"/>
      <c r="G30" s="104"/>
      <c r="H30" s="121">
        <f>ROUND((H21/8760),5)</f>
        <v>1.0000000000000001E-5</v>
      </c>
      <c r="I30" s="106" t="str">
        <f>+'Sch. 2 - BHP'!I30</f>
        <v>$ per kW - hour off peak (Ln 9 / 8760)</v>
      </c>
      <c r="J30" s="121"/>
      <c r="K30" s="129"/>
    </row>
    <row r="31" spans="1:12">
      <c r="A31" s="115">
        <v>15</v>
      </c>
      <c r="B31" s="104"/>
      <c r="C31" s="104"/>
      <c r="D31" s="104"/>
      <c r="E31" s="104"/>
      <c r="F31" s="104"/>
      <c r="G31" s="104"/>
      <c r="H31" s="121">
        <f>ROUND((H21/4992),5)</f>
        <v>1.0000000000000001E-5</v>
      </c>
      <c r="I31" s="106" t="str">
        <f>+'Sch. 2 - BHP'!I31</f>
        <v>$ per kW - hour on peak (Ln 9 / 4992)</v>
      </c>
      <c r="J31" s="121" t="s">
        <v>35</v>
      </c>
      <c r="K31" s="129"/>
    </row>
    <row r="32" spans="1:12">
      <c r="A32" s="129"/>
      <c r="B32" s="129"/>
      <c r="C32" s="129"/>
      <c r="D32" s="129"/>
      <c r="E32" s="129"/>
      <c r="F32" s="129"/>
      <c r="G32" s="129"/>
      <c r="H32" s="129"/>
      <c r="I32" s="130"/>
      <c r="J32" s="129"/>
      <c r="K32" s="129"/>
    </row>
    <row r="33" spans="1:11">
      <c r="A33" s="129"/>
      <c r="B33" s="129"/>
      <c r="C33" s="129"/>
      <c r="D33" s="129"/>
      <c r="E33" s="129"/>
      <c r="F33" s="129"/>
      <c r="G33" s="129"/>
      <c r="H33" s="129"/>
      <c r="I33" s="130"/>
      <c r="J33" s="129"/>
      <c r="K33" s="129"/>
    </row>
    <row r="34" spans="1:11">
      <c r="A34" s="129"/>
      <c r="B34" s="129"/>
      <c r="C34" s="129"/>
      <c r="D34" s="129"/>
      <c r="E34" s="129"/>
      <c r="F34" s="129"/>
      <c r="G34" s="129"/>
      <c r="I34" s="130"/>
      <c r="K34" s="129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4"/>
  <sheetViews>
    <sheetView workbookViewId="0">
      <selection activeCell="H10" sqref="H10"/>
    </sheetView>
  </sheetViews>
  <sheetFormatPr defaultRowHeight="14.25"/>
  <cols>
    <col min="1" max="1" width="5.85546875" style="41" customWidth="1"/>
    <col min="2" max="2" width="11.5703125" style="41" customWidth="1"/>
    <col min="3" max="6" width="9.140625" style="41"/>
    <col min="7" max="7" width="9" style="41" customWidth="1"/>
    <col min="8" max="8" width="11.140625" style="41" bestFit="1" customWidth="1"/>
    <col min="9" max="9" width="36.85546875" style="107" customWidth="1"/>
    <col min="10" max="10" width="12.85546875" style="41" bestFit="1" customWidth="1"/>
    <col min="11" max="11" width="11.85546875" style="41" customWidth="1"/>
    <col min="12" max="12" width="10.140625" style="41" bestFit="1" customWidth="1"/>
    <col min="13" max="16384" width="9.140625" style="41"/>
  </cols>
  <sheetData>
    <row r="1" spans="1:16" ht="15">
      <c r="A1" s="103" t="s">
        <v>0</v>
      </c>
      <c r="B1" s="104"/>
      <c r="C1" s="104"/>
      <c r="D1" s="104"/>
      <c r="E1" s="104"/>
      <c r="F1" s="104"/>
      <c r="G1" s="104"/>
      <c r="H1" s="105"/>
      <c r="I1" s="106"/>
      <c r="J1" s="104"/>
      <c r="K1" s="104"/>
    </row>
    <row r="2" spans="1:16" ht="15">
      <c r="A2" s="103" t="s">
        <v>1</v>
      </c>
      <c r="B2" s="104"/>
      <c r="C2" s="104"/>
      <c r="D2" s="104"/>
      <c r="E2" s="104"/>
      <c r="F2" s="104"/>
      <c r="G2" s="104"/>
      <c r="H2" s="105"/>
      <c r="K2" s="108" t="str">
        <f>+'Under-Over Recovery'!J2</f>
        <v>Black Hills Power, Inc.</v>
      </c>
    </row>
    <row r="3" spans="1:16" ht="15">
      <c r="A3" s="103" t="s">
        <v>2</v>
      </c>
      <c r="B3" s="104"/>
      <c r="C3" s="104"/>
      <c r="D3" s="104"/>
      <c r="E3" s="104"/>
      <c r="F3" s="104"/>
      <c r="G3" s="104"/>
      <c r="H3" s="105"/>
      <c r="I3" s="106"/>
      <c r="J3" s="104"/>
      <c r="K3" s="108" t="str">
        <f>+'Under-Over Recovery'!J3</f>
        <v>May 31, 2025</v>
      </c>
    </row>
    <row r="4" spans="1:16" ht="15">
      <c r="A4" s="103"/>
      <c r="B4" s="104"/>
      <c r="C4" s="104"/>
      <c r="D4" s="104"/>
      <c r="E4" s="104"/>
      <c r="F4" s="104"/>
      <c r="G4" s="104"/>
      <c r="H4" s="105"/>
      <c r="I4" s="106"/>
      <c r="K4" s="104"/>
      <c r="P4" s="104"/>
    </row>
    <row r="5" spans="1:16">
      <c r="A5" s="109"/>
      <c r="B5" s="109"/>
      <c r="C5" s="109"/>
      <c r="D5" s="109"/>
      <c r="E5" s="109"/>
      <c r="F5" s="109"/>
      <c r="G5" s="109"/>
      <c r="H5" s="109"/>
      <c r="I5" s="110"/>
      <c r="J5" s="109"/>
      <c r="K5" s="109"/>
    </row>
    <row r="6" spans="1:16">
      <c r="A6" s="109"/>
      <c r="B6" s="109"/>
      <c r="C6" s="109"/>
      <c r="D6" s="109"/>
      <c r="E6" s="109"/>
      <c r="F6" s="109"/>
      <c r="G6" s="109"/>
      <c r="H6" s="109"/>
      <c r="I6" s="110"/>
      <c r="J6" s="109"/>
      <c r="K6" s="109"/>
    </row>
    <row r="7" spans="1:16">
      <c r="A7" s="109"/>
      <c r="B7" s="109"/>
      <c r="C7" s="109"/>
      <c r="D7" s="109"/>
      <c r="E7" s="109"/>
      <c r="F7" s="109"/>
      <c r="G7" s="109"/>
      <c r="H7" s="109"/>
      <c r="I7" s="110"/>
      <c r="J7" s="109"/>
      <c r="K7" s="109"/>
    </row>
    <row r="8" spans="1:16">
      <c r="A8" s="111" t="s">
        <v>31</v>
      </c>
      <c r="B8" s="109"/>
      <c r="C8" s="109"/>
      <c r="D8" s="109"/>
      <c r="E8" s="109"/>
      <c r="F8" s="109"/>
      <c r="G8" s="109"/>
      <c r="H8" s="109"/>
      <c r="I8" s="110"/>
      <c r="J8" s="109"/>
      <c r="K8" s="109"/>
    </row>
    <row r="9" spans="1:16">
      <c r="A9" s="112" t="s">
        <v>32</v>
      </c>
      <c r="B9" s="113"/>
      <c r="C9" s="104"/>
      <c r="D9" s="114"/>
      <c r="E9" s="104"/>
      <c r="F9" s="104"/>
      <c r="G9" s="104"/>
      <c r="H9" s="109"/>
      <c r="I9" s="106"/>
      <c r="J9" s="104"/>
      <c r="K9" s="104"/>
    </row>
    <row r="10" spans="1:16">
      <c r="A10" s="115">
        <v>1</v>
      </c>
      <c r="B10" s="113" t="s">
        <v>60</v>
      </c>
      <c r="C10" s="104"/>
      <c r="D10" s="114"/>
      <c r="E10" s="104"/>
      <c r="F10" s="104"/>
      <c r="G10" s="104"/>
      <c r="H10" s="105">
        <f>1660052</f>
        <v>1660052</v>
      </c>
      <c r="I10" s="106" t="s">
        <v>51</v>
      </c>
      <c r="J10" s="104"/>
      <c r="K10" s="104"/>
    </row>
    <row r="11" spans="1:16">
      <c r="A11" s="115">
        <v>2</v>
      </c>
      <c r="B11" s="113" t="s">
        <v>50</v>
      </c>
      <c r="C11" s="104"/>
      <c r="D11" s="114"/>
      <c r="E11" s="104"/>
      <c r="F11" s="104"/>
      <c r="G11" s="104"/>
      <c r="H11" s="105">
        <f>296353</f>
        <v>296353</v>
      </c>
      <c r="I11" s="106" t="s">
        <v>113</v>
      </c>
      <c r="J11" s="104"/>
      <c r="K11" s="104"/>
    </row>
    <row r="12" spans="1:16">
      <c r="A12" s="115">
        <v>3</v>
      </c>
      <c r="B12" s="113" t="s">
        <v>53</v>
      </c>
      <c r="C12" s="104"/>
      <c r="D12" s="114"/>
      <c r="E12" s="104"/>
      <c r="F12" s="104"/>
      <c r="G12" s="104"/>
      <c r="H12" s="105">
        <f>601062</f>
        <v>601062</v>
      </c>
      <c r="I12" s="106" t="s">
        <v>55</v>
      </c>
      <c r="J12" s="104"/>
      <c r="K12" s="104"/>
    </row>
    <row r="13" spans="1:16">
      <c r="A13" s="115">
        <v>4</v>
      </c>
      <c r="B13" s="113" t="s">
        <v>52</v>
      </c>
      <c r="C13" s="104"/>
      <c r="D13" s="114"/>
      <c r="E13" s="104"/>
      <c r="F13" s="104"/>
      <c r="G13" s="104"/>
      <c r="H13" s="105">
        <f>260384</f>
        <v>260384</v>
      </c>
      <c r="I13" s="106" t="s">
        <v>54</v>
      </c>
      <c r="J13" s="104"/>
      <c r="K13" s="104"/>
    </row>
    <row r="14" spans="1:16">
      <c r="A14" s="115">
        <v>5</v>
      </c>
      <c r="B14" s="113" t="s">
        <v>62</v>
      </c>
      <c r="C14" s="104"/>
      <c r="D14" s="114"/>
      <c r="E14" s="104"/>
      <c r="F14" s="104"/>
      <c r="G14" s="104"/>
      <c r="H14" s="105">
        <f>1034689</f>
        <v>1034689</v>
      </c>
      <c r="I14" s="106" t="s">
        <v>103</v>
      </c>
      <c r="J14" s="104"/>
      <c r="K14" s="104"/>
    </row>
    <row r="15" spans="1:16">
      <c r="A15" s="115">
        <v>6</v>
      </c>
      <c r="B15" s="113" t="s">
        <v>63</v>
      </c>
      <c r="C15" s="104"/>
      <c r="D15" s="114"/>
      <c r="E15" s="104"/>
      <c r="F15" s="104"/>
      <c r="G15" s="104"/>
      <c r="H15" s="105">
        <f>66747</f>
        <v>66747</v>
      </c>
      <c r="I15" s="106" t="s">
        <v>103</v>
      </c>
      <c r="J15" s="104"/>
      <c r="K15" s="104"/>
    </row>
    <row r="16" spans="1:16">
      <c r="A16" s="109"/>
      <c r="B16" s="109"/>
      <c r="C16" s="109"/>
      <c r="D16" s="109"/>
      <c r="E16" s="109"/>
      <c r="F16" s="109"/>
      <c r="G16" s="109"/>
      <c r="H16" s="109"/>
      <c r="I16" s="110"/>
      <c r="J16" s="109"/>
      <c r="K16" s="109"/>
    </row>
    <row r="17" spans="1:12" ht="15" thickBot="1">
      <c r="A17" s="115">
        <v>7</v>
      </c>
      <c r="B17" s="116" t="s">
        <v>3</v>
      </c>
      <c r="C17" s="116"/>
      <c r="D17" s="116"/>
      <c r="E17" s="116"/>
      <c r="F17" s="116"/>
      <c r="G17" s="116"/>
      <c r="H17" s="117">
        <f>H10+H11+H12+H13+H14+H15</f>
        <v>3919287</v>
      </c>
      <c r="I17" s="106" t="s">
        <v>118</v>
      </c>
      <c r="J17" s="105"/>
      <c r="K17" s="105"/>
    </row>
    <row r="18" spans="1:12">
      <c r="A18" s="115"/>
      <c r="B18" s="104"/>
      <c r="C18" s="104"/>
      <c r="D18" s="104"/>
      <c r="E18" s="104"/>
      <c r="F18" s="104"/>
      <c r="G18" s="104"/>
      <c r="H18" s="105"/>
      <c r="I18" s="106"/>
      <c r="J18" s="104"/>
      <c r="K18" s="104"/>
    </row>
    <row r="19" spans="1:12">
      <c r="A19" s="115">
        <v>8</v>
      </c>
      <c r="B19" s="104" t="str">
        <f>'Sch. 2 - BHP'!B19</f>
        <v>Common Use AC Facility Transmission Load (2024 Actual Load)</v>
      </c>
      <c r="C19" s="104"/>
      <c r="D19" s="104"/>
      <c r="E19" s="104"/>
      <c r="F19" s="104"/>
      <c r="G19" s="104"/>
      <c r="H19" s="118">
        <f>+'CUS AC LOADS'!I24*1000</f>
        <v>964333.33333333337</v>
      </c>
      <c r="I19" s="106" t="s">
        <v>64</v>
      </c>
    </row>
    <row r="20" spans="1:12">
      <c r="A20" s="109"/>
      <c r="B20" s="109"/>
      <c r="C20" s="109"/>
      <c r="D20" s="109"/>
      <c r="E20" s="109"/>
      <c r="F20" s="109"/>
      <c r="G20" s="119"/>
      <c r="H20" s="109"/>
      <c r="I20" s="119"/>
      <c r="J20" s="109"/>
      <c r="K20" s="109"/>
    </row>
    <row r="21" spans="1:12">
      <c r="A21" s="115">
        <v>9</v>
      </c>
      <c r="B21" s="104" t="s">
        <v>5</v>
      </c>
      <c r="C21" s="104"/>
      <c r="D21" s="104"/>
      <c r="E21" s="104"/>
      <c r="F21" s="104"/>
      <c r="G21" s="104"/>
      <c r="H21" s="120">
        <f>ROUND(H17/H19,4)</f>
        <v>4.0641999999999996</v>
      </c>
      <c r="I21" s="106" t="str">
        <f>+'Sch. 2 - BHP'!I21</f>
        <v>$ per kW - Year   (Ln 7/ Ln 8)</v>
      </c>
      <c r="J21" s="121"/>
      <c r="K21" s="109"/>
    </row>
    <row r="22" spans="1:12">
      <c r="A22" s="109"/>
      <c r="B22" s="109"/>
      <c r="C22" s="109"/>
      <c r="D22" s="109"/>
      <c r="E22" s="109"/>
      <c r="F22" s="109"/>
      <c r="G22" s="109"/>
      <c r="H22" s="122"/>
      <c r="I22" s="110"/>
      <c r="J22" s="123"/>
      <c r="K22" s="123"/>
      <c r="L22" s="124"/>
    </row>
    <row r="23" spans="1:12">
      <c r="A23" s="115">
        <v>10</v>
      </c>
      <c r="B23" s="104"/>
      <c r="C23" s="104"/>
      <c r="D23" s="104"/>
      <c r="E23" s="104"/>
      <c r="F23" s="104"/>
      <c r="G23" s="104"/>
      <c r="H23" s="120">
        <f>ROUND(H21/12,4)</f>
        <v>0.3387</v>
      </c>
      <c r="I23" s="106" t="str">
        <f>+'Sch. 2 - BHP'!I23</f>
        <v>$ per kW - Month (Ln 9 / 12)</v>
      </c>
      <c r="J23" s="121"/>
      <c r="K23" s="123"/>
      <c r="L23" s="124"/>
    </row>
    <row r="24" spans="1:12">
      <c r="A24" s="109"/>
      <c r="B24" s="109"/>
      <c r="C24" s="109"/>
      <c r="D24" s="109"/>
      <c r="E24" s="109"/>
      <c r="F24" s="109"/>
      <c r="G24" s="109"/>
      <c r="H24" s="122"/>
      <c r="I24" s="110"/>
      <c r="J24" s="109"/>
      <c r="K24" s="109"/>
    </row>
    <row r="25" spans="1:12">
      <c r="A25" s="115">
        <v>11</v>
      </c>
      <c r="B25" s="104"/>
      <c r="C25" s="104"/>
      <c r="D25" s="104"/>
      <c r="E25" s="104"/>
      <c r="F25" s="125"/>
      <c r="G25" s="104"/>
      <c r="H25" s="120">
        <f>ROUND(H21/52,4)</f>
        <v>7.8200000000000006E-2</v>
      </c>
      <c r="I25" s="106" t="str">
        <f>+'Sch. 2 - BHP'!I25</f>
        <v>$ per kW - Week (Ln 9 / 52)</v>
      </c>
      <c r="J25" s="121"/>
      <c r="K25" s="109"/>
    </row>
    <row r="26" spans="1:12">
      <c r="A26" s="109"/>
      <c r="B26" s="109"/>
      <c r="C26" s="109"/>
      <c r="D26" s="109"/>
      <c r="E26" s="109"/>
      <c r="F26" s="109"/>
      <c r="G26" s="109"/>
      <c r="H26" s="122"/>
      <c r="I26" s="110"/>
      <c r="J26" s="109"/>
      <c r="K26" s="109"/>
    </row>
    <row r="27" spans="1:12">
      <c r="A27" s="115">
        <v>12</v>
      </c>
      <c r="B27" s="104"/>
      <c r="C27" s="104"/>
      <c r="D27" s="104"/>
      <c r="E27" s="125"/>
      <c r="F27" s="104"/>
      <c r="G27" s="104"/>
      <c r="H27" s="120">
        <f>ROUND(H21/365,4)</f>
        <v>1.11E-2</v>
      </c>
      <c r="I27" s="106" t="str">
        <f>+'Sch. 2 - BHP'!I27</f>
        <v>$ per kW - day off peak (Ln 9 / 365)</v>
      </c>
      <c r="J27" s="121" t="s">
        <v>36</v>
      </c>
      <c r="K27" s="109"/>
    </row>
    <row r="28" spans="1:12">
      <c r="A28" s="115">
        <v>13</v>
      </c>
      <c r="B28" s="104"/>
      <c r="C28" s="104"/>
      <c r="D28" s="104"/>
      <c r="E28" s="125"/>
      <c r="F28" s="104"/>
      <c r="G28" s="104"/>
      <c r="H28" s="120">
        <f>ROUND(H21/312,4)</f>
        <v>1.2999999999999999E-2</v>
      </c>
      <c r="I28" s="106" t="str">
        <f>+'Sch. 2 - BHP'!I28</f>
        <v>$ per kW - day on peak (Ln 9 / 312)</v>
      </c>
      <c r="J28" s="121" t="s">
        <v>117</v>
      </c>
      <c r="K28" s="109"/>
    </row>
    <row r="29" spans="1:12">
      <c r="A29" s="109"/>
      <c r="B29" s="109"/>
      <c r="C29" s="109"/>
      <c r="D29" s="109"/>
      <c r="E29" s="109"/>
      <c r="F29" s="109"/>
      <c r="G29" s="109"/>
      <c r="H29" s="109"/>
      <c r="I29" s="110"/>
      <c r="J29" s="109"/>
      <c r="K29" s="109"/>
    </row>
    <row r="30" spans="1:12">
      <c r="A30" s="115">
        <v>14</v>
      </c>
      <c r="B30" s="104"/>
      <c r="C30" s="104"/>
      <c r="D30" s="104"/>
      <c r="E30" s="104"/>
      <c r="F30" s="104"/>
      <c r="G30" s="104"/>
      <c r="H30" s="121">
        <f>ROUND(H21/8760,5)</f>
        <v>4.6000000000000001E-4</v>
      </c>
      <c r="I30" s="106" t="str">
        <f>+'Sch. 2 - BHP'!I30</f>
        <v>$ per kW - hour off peak (Ln 9 / 8760)</v>
      </c>
      <c r="J30" s="121"/>
      <c r="K30" s="109"/>
    </row>
    <row r="31" spans="1:12">
      <c r="A31" s="115">
        <v>15</v>
      </c>
      <c r="B31" s="104"/>
      <c r="C31" s="104"/>
      <c r="D31" s="104"/>
      <c r="E31" s="104"/>
      <c r="F31" s="104"/>
      <c r="G31" s="104"/>
      <c r="H31" s="121">
        <f>ROUND((H21/4992),5)</f>
        <v>8.0999999999999996E-4</v>
      </c>
      <c r="I31" s="106" t="str">
        <f>+'Sch. 2 - BHP'!I31</f>
        <v>$ per kW - hour on peak (Ln 9 / 4992)</v>
      </c>
      <c r="J31" s="121" t="s">
        <v>35</v>
      </c>
      <c r="K31" s="109"/>
    </row>
    <row r="32" spans="1:12">
      <c r="A32" s="109"/>
      <c r="B32" s="109"/>
      <c r="C32" s="109"/>
      <c r="D32" s="109"/>
      <c r="E32" s="109"/>
      <c r="F32" s="109"/>
      <c r="G32" s="109"/>
      <c r="H32" s="109"/>
      <c r="I32" s="110"/>
      <c r="J32" s="109"/>
      <c r="K32" s="109"/>
    </row>
    <row r="33" spans="1:11">
      <c r="A33" s="109"/>
      <c r="B33" s="109"/>
      <c r="C33" s="109"/>
      <c r="D33" s="109"/>
      <c r="E33" s="109"/>
      <c r="F33" s="109"/>
      <c r="G33" s="109"/>
      <c r="H33" s="109"/>
      <c r="I33" s="110"/>
      <c r="J33" s="109"/>
      <c r="K33" s="109"/>
    </row>
    <row r="34" spans="1:11">
      <c r="A34" s="109"/>
      <c r="B34" s="109"/>
      <c r="C34" s="109"/>
      <c r="D34" s="109"/>
      <c r="E34" s="109"/>
      <c r="F34" s="109"/>
      <c r="G34" s="109"/>
      <c r="I34" s="110"/>
      <c r="K34" s="109"/>
    </row>
  </sheetData>
  <phoneticPr fontId="2" type="noConversion"/>
  <pageMargins left="0.28000000000000003" right="0.33" top="1" bottom="1" header="0.5" footer="0.5"/>
  <pageSetup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8312E71BAF8247B26C54BC2CCFF986" ma:contentTypeVersion="3" ma:contentTypeDescription="Create a new document." ma:contentTypeScope="" ma:versionID="b9aaa2e985fd61b4d20a15cfdbe0f724">
  <xsd:schema xmlns:xsd="http://www.w3.org/2001/XMLSchema" xmlns:xs="http://www.w3.org/2001/XMLSchema" xmlns:p="http://schemas.microsoft.com/office/2006/metadata/properties" xmlns:ns2="8fcf0468-70df-433b-a1e6-87558d3ff1e0" targetNamespace="http://schemas.microsoft.com/office/2006/metadata/properties" ma:root="true" ma:fieldsID="0046c05095c3eecc9efc754eb7c26ede" ns2:_="">
    <xsd:import namespace="8fcf0468-70df-433b-a1e6-87558d3ff1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cf0468-70df-433b-a1e6-87558d3ff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325157-B208-4DB2-A5B0-1253D326C720}"/>
</file>

<file path=customXml/itemProps2.xml><?xml version="1.0" encoding="utf-8"?>
<ds:datastoreItem xmlns:ds="http://schemas.openxmlformats.org/officeDocument/2006/customXml" ds:itemID="{9FC4B5B6-E8FC-4D85-A5BD-CFDECA8531F9}"/>
</file>

<file path=customXml/itemProps3.xml><?xml version="1.0" encoding="utf-8"?>
<ds:datastoreItem xmlns:ds="http://schemas.openxmlformats.org/officeDocument/2006/customXml" ds:itemID="{DDBB8747-063E-4A73-92F6-269F3D0ADB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Under-Over Recovery</vt:lpstr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  <vt:lpstr>'Under-Over Recovery'!Print_Area</vt:lpstr>
    </vt:vector>
  </TitlesOfParts>
  <Company>Black Hills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Mack, Lori</cp:lastModifiedBy>
  <cp:lastPrinted>2016-05-31T14:43:19Z</cp:lastPrinted>
  <dcterms:created xsi:type="dcterms:W3CDTF">2008-12-08T23:28:21Z</dcterms:created>
  <dcterms:modified xsi:type="dcterms:W3CDTF">2025-05-28T21:26:52Z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0x010100F18312E71BAF8247B26C54BC2CCFF986</vt:lpwstr>
  </property>
</Properties>
</file>