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N:\BHSC\BHC\Rates\BHE BHP\FERC\Common Use System\2024 CUS Filing (2025 Rate)\Files for Oasis\"/>
    </mc:Choice>
  </mc:AlternateContent>
  <xr:revisionPtr revIDLastSave="0" documentId="13_ncr:1_{E84F53F7-7207-4482-9403-F99035F3F622}" xr6:coauthVersionLast="47" xr6:coauthVersionMax="47" xr10:uidLastSave="{00000000-0000-0000-0000-000000000000}"/>
  <bookViews>
    <workbookView xWindow="-28920" yWindow="1740" windowWidth="29040" windowHeight="15720" tabRatio="893" xr2:uid="{00000000-000D-0000-FFFF-FFFF00000000}"/>
  </bookViews>
  <sheets>
    <sheet name="CU AC Rate Design" sheetId="41" r:id="rId1"/>
    <sheet name="Estimate" sheetId="35" r:id="rId2"/>
    <sheet name="BHP WP2 Capital Additions" sheetId="42" r:id="rId3"/>
    <sheet name="BHP WP3 Capital Additions" sheetId="43" r:id="rId4"/>
    <sheet name="BHP WP5 Depreciation Rates" sheetId="34" r:id="rId5"/>
    <sheet name="WP6 Rate Base" sheetId="37" r:id="rId6"/>
    <sheet name="WP7 CU AC LOADS" sheetId="24" r:id="rId7"/>
  </sheets>
  <definedNames>
    <definedName name="_xlnm.Print_Area" localSheetId="2">'BHP WP2 Capital Additions'!$B$1:$G$60</definedName>
    <definedName name="_xlnm.Print_Area" localSheetId="3">'BHP WP3 Capital Additions'!$A$1:$F$30</definedName>
    <definedName name="_xlnm.Print_Area" localSheetId="0">'CU AC Rate Design'!$A$1:$H$35</definedName>
    <definedName name="_xlnm.Print_Area" localSheetId="1">Estimate!$A$1:$K$235</definedName>
    <definedName name="_xlnm.Print_Area" localSheetId="5">'WP6 Rate Base'!$A$1:$R$65</definedName>
    <definedName name="_xlnm.Print_Area" localSheetId="6">'WP7 CU AC LOADS'!$A$1:$J$47</definedName>
    <definedName name="_xlnm.Print_Titles" localSheetId="5">'WP6 Rate Base'!$A:$A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4" l="1"/>
  <c r="H24" i="35" l="1"/>
  <c r="J42" i="35" l="1"/>
  <c r="E42" i="35"/>
  <c r="E41" i="35"/>
  <c r="E40" i="35"/>
  <c r="E29" i="42"/>
  <c r="F29" i="42"/>
  <c r="E28" i="42"/>
  <c r="J143" i="35"/>
  <c r="J142" i="35"/>
  <c r="J168" i="35"/>
  <c r="D57" i="42" l="1"/>
  <c r="D55" i="42"/>
  <c r="D54" i="42"/>
  <c r="E40" i="37" l="1"/>
  <c r="E39" i="37"/>
  <c r="E38" i="37"/>
  <c r="E37" i="37"/>
  <c r="E36" i="37"/>
  <c r="E35" i="37"/>
  <c r="E32" i="37"/>
  <c r="E22" i="37"/>
  <c r="J22" i="24" l="1"/>
  <c r="J21" i="24"/>
  <c r="J20" i="24"/>
  <c r="J19" i="24"/>
  <c r="J18" i="24"/>
  <c r="J17" i="24"/>
  <c r="J16" i="24"/>
  <c r="J15" i="24"/>
  <c r="J14" i="24"/>
  <c r="J13" i="24"/>
  <c r="J12" i="24"/>
  <c r="J11" i="24"/>
  <c r="D181" i="35" l="1"/>
  <c r="D180" i="35"/>
  <c r="D108" i="35"/>
  <c r="D90" i="35"/>
  <c r="D68" i="35"/>
  <c r="D66" i="35"/>
  <c r="D57" i="35"/>
  <c r="D47" i="35"/>
  <c r="D46" i="35"/>
  <c r="D45" i="35"/>
  <c r="D44" i="35"/>
  <c r="D43" i="35"/>
  <c r="D42" i="35"/>
  <c r="D40" i="35"/>
  <c r="D39" i="35"/>
  <c r="D38" i="35"/>
  <c r="D35" i="35"/>
  <c r="D29" i="35"/>
  <c r="D24" i="35"/>
  <c r="H197" i="35" l="1"/>
  <c r="E91" i="35" l="1"/>
  <c r="E62" i="35" s="1"/>
  <c r="J159" i="35" l="1"/>
  <c r="J59" i="35"/>
  <c r="F56" i="37"/>
  <c r="F12" i="41"/>
  <c r="E41" i="37"/>
  <c r="R25" i="37"/>
  <c r="F65" i="37"/>
  <c r="E65" i="37"/>
  <c r="E56" i="37"/>
  <c r="E56" i="35"/>
  <c r="E177" i="35"/>
  <c r="I44" i="24"/>
  <c r="H44" i="24"/>
  <c r="G44" i="24"/>
  <c r="F44" i="24"/>
  <c r="E44" i="24"/>
  <c r="D44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C96" i="35"/>
  <c r="C95" i="35"/>
  <c r="C40" i="35"/>
  <c r="F21" i="42"/>
  <c r="F25" i="43" s="1"/>
  <c r="E65" i="35"/>
  <c r="E64" i="35"/>
  <c r="E63" i="35"/>
  <c r="E55" i="35"/>
  <c r="E53" i="35"/>
  <c r="E52" i="35"/>
  <c r="E51" i="35"/>
  <c r="E50" i="35"/>
  <c r="E33" i="35"/>
  <c r="E31" i="35"/>
  <c r="E30" i="35"/>
  <c r="J166" i="35" s="1"/>
  <c r="E28" i="35"/>
  <c r="E27" i="35"/>
  <c r="E23" i="35"/>
  <c r="J23" i="35" s="1"/>
  <c r="E22" i="35"/>
  <c r="E21" i="35"/>
  <c r="E20" i="35"/>
  <c r="E19" i="35"/>
  <c r="J148" i="35" s="1"/>
  <c r="E16" i="35"/>
  <c r="E15" i="35"/>
  <c r="A9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J24" i="24"/>
  <c r="D24" i="24"/>
  <c r="F24" i="24"/>
  <c r="G24" i="24"/>
  <c r="H24" i="24"/>
  <c r="I24" i="24"/>
  <c r="R15" i="37"/>
  <c r="A16" i="37"/>
  <c r="A17" i="37" s="1"/>
  <c r="R16" i="37"/>
  <c r="R17" i="37"/>
  <c r="R19" i="37"/>
  <c r="R20" i="37"/>
  <c r="R21" i="37"/>
  <c r="G22" i="37"/>
  <c r="H22" i="37"/>
  <c r="I22" i="37"/>
  <c r="J22" i="37"/>
  <c r="K22" i="37"/>
  <c r="L22" i="37"/>
  <c r="M22" i="37"/>
  <c r="N22" i="37"/>
  <c r="O22" i="37"/>
  <c r="P22" i="37"/>
  <c r="Q22" i="37"/>
  <c r="C25" i="37"/>
  <c r="C35" i="37" s="1"/>
  <c r="R26" i="37"/>
  <c r="R27" i="37"/>
  <c r="C28" i="37"/>
  <c r="C38" i="37" s="1"/>
  <c r="R28" i="37"/>
  <c r="C30" i="37"/>
  <c r="C40" i="37" s="1"/>
  <c r="R30" i="37"/>
  <c r="C31" i="37"/>
  <c r="C41" i="37" s="1"/>
  <c r="R31" i="37"/>
  <c r="E34" i="35"/>
  <c r="E46" i="35" s="1"/>
  <c r="F32" i="37"/>
  <c r="G32" i="37"/>
  <c r="H32" i="37"/>
  <c r="I32" i="37"/>
  <c r="J32" i="37"/>
  <c r="K32" i="37"/>
  <c r="L32" i="37"/>
  <c r="M32" i="37"/>
  <c r="N32" i="37"/>
  <c r="O32" i="37"/>
  <c r="P32" i="37"/>
  <c r="F35" i="37"/>
  <c r="G35" i="37"/>
  <c r="H35" i="37"/>
  <c r="I35" i="37"/>
  <c r="J35" i="37"/>
  <c r="K35" i="37"/>
  <c r="L35" i="37"/>
  <c r="M35" i="37"/>
  <c r="N35" i="37"/>
  <c r="O35" i="37"/>
  <c r="P35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G38" i="37"/>
  <c r="H38" i="37"/>
  <c r="I38" i="37"/>
  <c r="J38" i="37"/>
  <c r="K38" i="37"/>
  <c r="L38" i="37"/>
  <c r="M38" i="37"/>
  <c r="N38" i="37"/>
  <c r="O38" i="37"/>
  <c r="P38" i="37"/>
  <c r="Q38" i="37"/>
  <c r="F39" i="37"/>
  <c r="G39" i="37"/>
  <c r="H39" i="37"/>
  <c r="I39" i="37"/>
  <c r="J39" i="37"/>
  <c r="K39" i="37"/>
  <c r="L39" i="37"/>
  <c r="M39" i="37"/>
  <c r="N39" i="37"/>
  <c r="O39" i="37"/>
  <c r="P39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G50" i="37"/>
  <c r="G51" i="37"/>
  <c r="G52" i="37"/>
  <c r="G53" i="37"/>
  <c r="G54" i="37"/>
  <c r="G58" i="37"/>
  <c r="G62" i="37"/>
  <c r="G63" i="37"/>
  <c r="G64" i="37"/>
  <c r="F9" i="43"/>
  <c r="F10" i="43"/>
  <c r="F11" i="43"/>
  <c r="F12" i="43"/>
  <c r="F13" i="43"/>
  <c r="F16" i="43"/>
  <c r="F17" i="43"/>
  <c r="F18" i="43"/>
  <c r="F19" i="43"/>
  <c r="F20" i="43"/>
  <c r="G109" i="43"/>
  <c r="G110" i="43" s="1"/>
  <c r="B7" i="42"/>
  <c r="B8" i="42" s="1"/>
  <c r="B9" i="42" s="1"/>
  <c r="B10" i="42" s="1"/>
  <c r="B11" i="42" s="1"/>
  <c r="B12" i="42" s="1"/>
  <c r="B13" i="42" s="1"/>
  <c r="B14" i="42" s="1"/>
  <c r="B15" i="42" s="1"/>
  <c r="B16" i="42" s="1"/>
  <c r="B17" i="42" s="1"/>
  <c r="B18" i="42" s="1"/>
  <c r="B19" i="42" s="1"/>
  <c r="B20" i="42" s="1"/>
  <c r="H114" i="42"/>
  <c r="H115" i="42" s="1"/>
  <c r="C27" i="35"/>
  <c r="G27" i="35"/>
  <c r="G50" i="35" s="1"/>
  <c r="G107" i="35" s="1"/>
  <c r="H27" i="35"/>
  <c r="C31" i="35"/>
  <c r="C43" i="35"/>
  <c r="G31" i="35"/>
  <c r="G32" i="35"/>
  <c r="C33" i="35"/>
  <c r="C45" i="35"/>
  <c r="G33" i="35"/>
  <c r="C34" i="35"/>
  <c r="C46" i="35" s="1"/>
  <c r="G34" i="35"/>
  <c r="H34" i="35"/>
  <c r="C38" i="35"/>
  <c r="G52" i="35"/>
  <c r="G53" i="35" s="1"/>
  <c r="G55" i="35" s="1"/>
  <c r="G56" i="35" s="1"/>
  <c r="J69" i="35"/>
  <c r="I70" i="35"/>
  <c r="J70" i="35"/>
  <c r="G78" i="35"/>
  <c r="G79" i="35"/>
  <c r="G83" i="35"/>
  <c r="J85" i="35"/>
  <c r="G86" i="35"/>
  <c r="G87" i="35" s="1"/>
  <c r="G88" i="35"/>
  <c r="G89" i="35"/>
  <c r="H90" i="35"/>
  <c r="J90" i="35" s="1"/>
  <c r="C94" i="35"/>
  <c r="C98" i="35"/>
  <c r="G104" i="35"/>
  <c r="G108" i="35"/>
  <c r="E109" i="35"/>
  <c r="E113" i="35"/>
  <c r="J125" i="35"/>
  <c r="I126" i="35"/>
  <c r="J126" i="35"/>
  <c r="E148" i="35"/>
  <c r="H175" i="35"/>
  <c r="H176" i="35"/>
  <c r="J194" i="35"/>
  <c r="J197" i="35"/>
  <c r="H198" i="35"/>
  <c r="J199" i="35"/>
  <c r="J201" i="35"/>
  <c r="I202" i="35"/>
  <c r="J202" i="35"/>
  <c r="D10" i="41"/>
  <c r="F13" i="41"/>
  <c r="F14" i="41"/>
  <c r="B22" i="41"/>
  <c r="B23" i="41"/>
  <c r="B24" i="41"/>
  <c r="A29" i="41"/>
  <c r="A30" i="41" s="1"/>
  <c r="A31" i="41" s="1"/>
  <c r="A32" i="41" s="1"/>
  <c r="A33" i="41" s="1"/>
  <c r="A34" i="41" s="1"/>
  <c r="B38" i="41"/>
  <c r="B40" i="41"/>
  <c r="B41" i="41"/>
  <c r="B42" i="41"/>
  <c r="A82" i="35"/>
  <c r="A83" i="35" s="1"/>
  <c r="A84" i="35" s="1"/>
  <c r="A85" i="35" s="1"/>
  <c r="A86" i="35" s="1"/>
  <c r="A87" i="35" s="1"/>
  <c r="A88" i="35" s="1"/>
  <c r="A89" i="35" s="1"/>
  <c r="A90" i="35" s="1"/>
  <c r="A91" i="35" s="1"/>
  <c r="G55" i="37"/>
  <c r="E45" i="35"/>
  <c r="J170" i="35" l="1"/>
  <c r="R41" i="37"/>
  <c r="R40" i="37"/>
  <c r="E43" i="35"/>
  <c r="E66" i="35"/>
  <c r="E42" i="37"/>
  <c r="J34" i="35"/>
  <c r="J46" i="35" s="1"/>
  <c r="I42" i="37"/>
  <c r="L42" i="37"/>
  <c r="H42" i="37"/>
  <c r="J42" i="37"/>
  <c r="E181" i="35"/>
  <c r="F28" i="42"/>
  <c r="E94" i="35"/>
  <c r="E38" i="35"/>
  <c r="G56" i="37"/>
  <c r="K42" i="37"/>
  <c r="E39" i="35"/>
  <c r="G42" i="37"/>
  <c r="O42" i="37"/>
  <c r="E97" i="35"/>
  <c r="G65" i="37"/>
  <c r="R36" i="37"/>
  <c r="Q35" i="37"/>
  <c r="R37" i="37"/>
  <c r="P42" i="37"/>
  <c r="B21" i="42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D62" i="35"/>
  <c r="A92" i="35"/>
  <c r="A93" i="35" s="1"/>
  <c r="A94" i="35" s="1"/>
  <c r="R29" i="37"/>
  <c r="R39" i="37" s="1"/>
  <c r="E32" i="35"/>
  <c r="E44" i="35" s="1"/>
  <c r="Q39" i="37"/>
  <c r="Q32" i="37"/>
  <c r="N42" i="37"/>
  <c r="A18" i="37"/>
  <c r="R35" i="37"/>
  <c r="C91" i="35"/>
  <c r="M42" i="37"/>
  <c r="H98" i="35"/>
  <c r="J98" i="35" s="1"/>
  <c r="E199" i="35"/>
  <c r="E200" i="35" s="1"/>
  <c r="F198" i="35" s="1"/>
  <c r="J198" i="35" s="1"/>
  <c r="J200" i="35" s="1"/>
  <c r="E114" i="35" s="1"/>
  <c r="J44" i="24"/>
  <c r="G22" i="41" s="1"/>
  <c r="E41" i="41" s="1"/>
  <c r="F15" i="41"/>
  <c r="G14" i="41" s="1"/>
  <c r="H14" i="41" s="1"/>
  <c r="E24" i="41" s="1"/>
  <c r="F24" i="41" s="1"/>
  <c r="Q42" i="37" l="1"/>
  <c r="B41" i="42"/>
  <c r="B42" i="42" s="1"/>
  <c r="G23" i="41"/>
  <c r="G13" i="41"/>
  <c r="H13" i="41" s="1"/>
  <c r="E23" i="41" s="1"/>
  <c r="C22" i="42"/>
  <c r="A19" i="37"/>
  <c r="A95" i="35"/>
  <c r="A96" i="35" s="1"/>
  <c r="A97" i="35" s="1"/>
  <c r="A98" i="35" s="1"/>
  <c r="A99" i="35" s="1"/>
  <c r="R32" i="37"/>
  <c r="G15" i="41"/>
  <c r="G12" i="41"/>
  <c r="H12" i="41" s="1"/>
  <c r="E22" i="41" s="1"/>
  <c r="F23" i="41" l="1"/>
  <c r="H23" i="41" s="1"/>
  <c r="E25" i="41"/>
  <c r="E39" i="41" s="1"/>
  <c r="H15" i="41"/>
  <c r="G24" i="41"/>
  <c r="H24" i="41" s="1"/>
  <c r="A20" i="37"/>
  <c r="B43" i="42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A100" i="35"/>
  <c r="A101" i="35" s="1"/>
  <c r="A102" i="35" s="1"/>
  <c r="A103" i="35" s="1"/>
  <c r="C99" i="35"/>
  <c r="A21" i="37" l="1"/>
  <c r="A104" i="35"/>
  <c r="A105" i="35" s="1"/>
  <c r="A106" i="35" s="1"/>
  <c r="A107" i="35" s="1"/>
  <c r="A108" i="35" s="1"/>
  <c r="A109" i="35" s="1"/>
  <c r="B55" i="42"/>
  <c r="C109" i="35" l="1"/>
  <c r="A110" i="35"/>
  <c r="A111" i="35" s="1"/>
  <c r="A112" i="35" s="1"/>
  <c r="A113" i="35" s="1"/>
  <c r="A114" i="35" s="1"/>
  <c r="B56" i="42"/>
  <c r="B57" i="42" s="1"/>
  <c r="A22" i="37"/>
  <c r="A23" i="37" s="1"/>
  <c r="A24" i="37" s="1"/>
  <c r="A25" i="37" s="1"/>
  <c r="D22" i="37"/>
  <c r="A115" i="35" l="1"/>
  <c r="A116" i="35" s="1"/>
  <c r="A117" i="35" s="1"/>
  <c r="A118" i="35" s="1"/>
  <c r="A26" i="37"/>
  <c r="D35" i="37"/>
  <c r="A119" i="35" l="1"/>
  <c r="A120" i="35" s="1"/>
  <c r="A121" i="35" s="1"/>
  <c r="C123" i="35"/>
  <c r="A27" i="37"/>
  <c r="D36" i="37"/>
  <c r="A28" i="37" l="1"/>
  <c r="D37" i="37"/>
  <c r="A122" i="35"/>
  <c r="A123" i="35" s="1"/>
  <c r="A137" i="35" s="1"/>
  <c r="D118" i="35"/>
  <c r="A138" i="35" l="1"/>
  <c r="A139" i="35" s="1"/>
  <c r="A140" i="35" s="1"/>
  <c r="A29" i="37"/>
  <c r="D38" i="37"/>
  <c r="A141" i="35" l="1"/>
  <c r="A142" i="35" s="1"/>
  <c r="A30" i="37"/>
  <c r="D39" i="37"/>
  <c r="C140" i="35"/>
  <c r="A143" i="35" l="1"/>
  <c r="A144" i="35" s="1"/>
  <c r="A145" i="35" s="1"/>
  <c r="A146" i="35" s="1"/>
  <c r="A147" i="35" s="1"/>
  <c r="A148" i="35" s="1"/>
  <c r="C142" i="35"/>
  <c r="A31" i="37"/>
  <c r="D40" i="37"/>
  <c r="A32" i="37" l="1"/>
  <c r="A33" i="37" s="1"/>
  <c r="A34" i="37" s="1"/>
  <c r="A35" i="37" s="1"/>
  <c r="D41" i="37"/>
  <c r="D32" i="37"/>
  <c r="A149" i="35"/>
  <c r="A150" i="35" s="1"/>
  <c r="A151" i="35" s="1"/>
  <c r="C153" i="35" s="1"/>
  <c r="C145" i="35"/>
  <c r="A152" i="35" l="1"/>
  <c r="A153" i="35" s="1"/>
  <c r="A154" i="35" s="1"/>
  <c r="A155" i="35" s="1"/>
  <c r="A156" i="35" s="1"/>
  <c r="C141" i="35"/>
  <c r="C143" i="35"/>
  <c r="C151" i="35"/>
  <c r="A36" i="37"/>
  <c r="A37" i="37" s="1"/>
  <c r="A38" i="37" s="1"/>
  <c r="A39" i="37" s="1"/>
  <c r="A40" i="37" s="1"/>
  <c r="A41" i="37" s="1"/>
  <c r="A42" i="37" s="1"/>
  <c r="A48" i="37" s="1"/>
  <c r="A49" i="37" s="1"/>
  <c r="A50" i="37" s="1"/>
  <c r="D42" i="37" l="1"/>
  <c r="A157" i="35"/>
  <c r="A158" i="35" s="1"/>
  <c r="A51" i="37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C158" i="35" l="1"/>
  <c r="A62" i="37"/>
  <c r="A63" i="37" s="1"/>
  <c r="A64" i="37" s="1"/>
  <c r="A65" i="37" s="1"/>
  <c r="A159" i="35"/>
  <c r="C160" i="35"/>
  <c r="D56" i="37"/>
  <c r="D65" i="37" l="1"/>
  <c r="A160" i="35"/>
  <c r="C161" i="35"/>
  <c r="A161" i="35" l="1"/>
  <c r="A162" i="35" s="1"/>
  <c r="A163" i="35" s="1"/>
  <c r="A164" i="35" s="1"/>
  <c r="A165" i="35" s="1"/>
  <c r="A166" i="35" s="1"/>
  <c r="C163" i="35" l="1"/>
  <c r="A167" i="35"/>
  <c r="A168" i="35" s="1"/>
  <c r="C168" i="35" l="1"/>
  <c r="A169" i="35"/>
  <c r="A170" i="35" s="1"/>
  <c r="A171" i="35" s="1"/>
  <c r="A172" i="35" s="1"/>
  <c r="A173" i="35" s="1"/>
  <c r="A174" i="35" s="1"/>
  <c r="A175" i="35" s="1"/>
  <c r="C170" i="35"/>
  <c r="C159" i="35"/>
  <c r="A176" i="35" l="1"/>
  <c r="A177" i="35" s="1"/>
  <c r="A178" i="35" s="1"/>
  <c r="A179" i="35" s="1"/>
  <c r="A180" i="35" s="1"/>
  <c r="C177" i="35"/>
  <c r="A181" i="35" l="1"/>
  <c r="A182" i="35" s="1"/>
  <c r="A183" i="35" s="1"/>
  <c r="A184" i="35" s="1"/>
  <c r="A185" i="35" s="1"/>
  <c r="A186" i="35" s="1"/>
  <c r="A187" i="35" s="1"/>
  <c r="A188" i="35" s="1"/>
  <c r="A189" i="35" s="1"/>
  <c r="A190" i="35" s="1"/>
  <c r="C182" i="35"/>
  <c r="A191" i="35" l="1"/>
  <c r="A192" i="35" s="1"/>
  <c r="A193" i="35" s="1"/>
  <c r="A194" i="35" s="1"/>
  <c r="E194" i="35" l="1"/>
  <c r="D199" i="35"/>
  <c r="A195" i="35"/>
  <c r="A196" i="35" s="1"/>
  <c r="A197" i="35" s="1"/>
  <c r="A198" i="35" l="1"/>
  <c r="A199" i="35" s="1"/>
  <c r="A200" i="35" s="1"/>
  <c r="C121" i="35" s="1"/>
  <c r="C200" i="35" l="1"/>
  <c r="C115" i="35"/>
  <c r="F20" i="42"/>
  <c r="F21" i="43"/>
  <c r="F15" i="43"/>
  <c r="F22" i="42" l="1"/>
  <c r="E95" i="35" s="1"/>
  <c r="E17" i="35"/>
  <c r="D23" i="43"/>
  <c r="F14" i="43"/>
  <c r="F23" i="43" s="1"/>
  <c r="F27" i="43" l="1"/>
  <c r="E96" i="35" s="1"/>
  <c r="E99" i="35" s="1"/>
  <c r="E123" i="35" s="1"/>
  <c r="E18" i="35"/>
  <c r="J137" i="35" s="1"/>
  <c r="E24" i="35" l="1"/>
  <c r="J140" i="35" l="1"/>
  <c r="E30" i="42" l="1"/>
  <c r="E31" i="42" l="1"/>
  <c r="F30" i="42"/>
  <c r="E32" i="42" l="1"/>
  <c r="F31" i="42"/>
  <c r="F32" i="42" l="1"/>
  <c r="E33" i="42"/>
  <c r="E34" i="42" l="1"/>
  <c r="F33" i="42"/>
  <c r="E35" i="42" l="1"/>
  <c r="F34" i="42"/>
  <c r="E36" i="42" l="1"/>
  <c r="F35" i="42"/>
  <c r="F36" i="42" l="1"/>
  <c r="E37" i="42"/>
  <c r="E38" i="42" l="1"/>
  <c r="F37" i="42"/>
  <c r="E39" i="42" l="1"/>
  <c r="F38" i="42"/>
  <c r="F39" i="42" l="1"/>
  <c r="F40" i="42" s="1"/>
  <c r="E42" i="42"/>
  <c r="E43" i="42" l="1"/>
  <c r="F42" i="42"/>
  <c r="F43" i="42" l="1"/>
  <c r="E44" i="42"/>
  <c r="E45" i="42" l="1"/>
  <c r="F44" i="42"/>
  <c r="F45" i="42" l="1"/>
  <c r="E46" i="42"/>
  <c r="E47" i="42" l="1"/>
  <c r="F46" i="42"/>
  <c r="E48" i="42" l="1"/>
  <c r="F47" i="42"/>
  <c r="E49" i="42" l="1"/>
  <c r="F48" i="42"/>
  <c r="E50" i="42" l="1"/>
  <c r="F49" i="42"/>
  <c r="F50" i="42" l="1"/>
  <c r="E51" i="42"/>
  <c r="E52" i="42" l="1"/>
  <c r="F51" i="42"/>
  <c r="E53" i="42" l="1"/>
  <c r="F53" i="42" s="1"/>
  <c r="F52" i="42"/>
  <c r="F54" i="42" l="1"/>
  <c r="F55" i="42" s="1"/>
  <c r="F57" i="42" s="1"/>
  <c r="E29" i="35" s="1"/>
  <c r="J156" i="35" l="1"/>
  <c r="J161" i="35" s="1"/>
  <c r="E35" i="35"/>
  <c r="E47" i="35" s="1"/>
  <c r="E180" i="35"/>
  <c r="E182" i="35" s="1"/>
  <c r="F181" i="35" l="1"/>
  <c r="F180" i="35"/>
  <c r="J158" i="35"/>
  <c r="J160" i="35" s="1"/>
  <c r="J163" i="35" l="1"/>
  <c r="H28" i="35" s="1"/>
  <c r="H29" i="35" s="1"/>
  <c r="J29" i="35" s="1"/>
  <c r="F182" i="35"/>
  <c r="J28" i="35" l="1"/>
  <c r="F38" i="37" l="1"/>
  <c r="F22" i="37"/>
  <c r="R18" i="37"/>
  <c r="R38" i="37" l="1"/>
  <c r="F42" i="37"/>
  <c r="R22" i="37"/>
  <c r="R42" i="37" l="1"/>
  <c r="J151" i="35" l="1"/>
  <c r="J141" i="35" s="1"/>
  <c r="J153" i="35"/>
  <c r="J145" i="35" l="1"/>
  <c r="G180" i="35" l="1"/>
  <c r="H180" i="35" s="1"/>
  <c r="J182" i="35" s="1"/>
  <c r="H16" i="35"/>
  <c r="H82" i="35"/>
  <c r="H94" i="35"/>
  <c r="H64" i="35"/>
  <c r="J64" i="35" s="1"/>
  <c r="F174" i="35"/>
  <c r="H174" i="35" s="1"/>
  <c r="H177" i="35" s="1"/>
  <c r="J177" i="35" s="1"/>
  <c r="H17" i="35" l="1"/>
  <c r="J16" i="35"/>
  <c r="H103" i="35"/>
  <c r="H20" i="35"/>
  <c r="J94" i="35"/>
  <c r="H95" i="35"/>
  <c r="J82" i="35"/>
  <c r="H89" i="35"/>
  <c r="J89" i="35" s="1"/>
  <c r="H83" i="35"/>
  <c r="J83" i="35" s="1"/>
  <c r="H22" i="35"/>
  <c r="H63" i="35"/>
  <c r="J63" i="35" s="1"/>
  <c r="J22" i="35" l="1"/>
  <c r="H33" i="35"/>
  <c r="J33" i="35" s="1"/>
  <c r="H96" i="35"/>
  <c r="J96" i="35" s="1"/>
  <c r="J95" i="35"/>
  <c r="J20" i="35"/>
  <c r="H21" i="35"/>
  <c r="J21" i="35" s="1"/>
  <c r="H31" i="35"/>
  <c r="H104" i="35"/>
  <c r="J104" i="35" s="1"/>
  <c r="J103" i="35"/>
  <c r="J39" i="35"/>
  <c r="J17" i="35"/>
  <c r="J40" i="35" s="1"/>
  <c r="H18" i="35"/>
  <c r="J18" i="35" s="1"/>
  <c r="J41" i="35" s="1"/>
  <c r="J31" i="35" l="1"/>
  <c r="H32" i="35"/>
  <c r="J32" i="35" s="1"/>
  <c r="H84" i="35"/>
  <c r="J43" i="35"/>
  <c r="J44" i="35"/>
  <c r="J24" i="35"/>
  <c r="J45" i="35"/>
  <c r="J47" i="35" l="1"/>
  <c r="H47" i="35" s="1"/>
  <c r="H51" i="35" s="1"/>
  <c r="H65" i="35"/>
  <c r="J65" i="35" s="1"/>
  <c r="H106" i="35"/>
  <c r="J35" i="35"/>
  <c r="J84" i="35"/>
  <c r="H97" i="35"/>
  <c r="J97" i="35" s="1"/>
  <c r="J99" i="35" s="1"/>
  <c r="H88" i="35"/>
  <c r="J88" i="35" s="1"/>
  <c r="H86" i="35"/>
  <c r="H52" i="35" l="1"/>
  <c r="J86" i="35"/>
  <c r="H87" i="35"/>
  <c r="J87" i="35" s="1"/>
  <c r="J106" i="35"/>
  <c r="H108" i="35"/>
  <c r="J108" i="35" s="1"/>
  <c r="J52" i="35"/>
  <c r="H53" i="35"/>
  <c r="J53" i="35" s="1"/>
  <c r="H55" i="35"/>
  <c r="J91" i="35" l="1"/>
  <c r="J62" i="35" s="1"/>
  <c r="J66" i="35" s="1"/>
  <c r="J109" i="35"/>
  <c r="J55" i="35"/>
  <c r="H56" i="35"/>
  <c r="J56" i="35" s="1"/>
  <c r="J57" i="35" s="1"/>
  <c r="J68" i="35" l="1"/>
  <c r="J121" i="35" s="1"/>
  <c r="J118" i="35" s="1"/>
  <c r="J123" i="35" s="1"/>
  <c r="D22" i="41" s="1"/>
  <c r="F22" i="41" l="1"/>
  <c r="F25" i="41" s="1"/>
  <c r="E40" i="41" s="1"/>
  <c r="E42" i="41" s="1"/>
  <c r="D25" i="41"/>
  <c r="E38" i="41" s="1"/>
  <c r="H22" i="41" l="1"/>
  <c r="H25" i="41" s="1"/>
  <c r="F28" i="41" s="1"/>
  <c r="H28" i="41" s="1"/>
  <c r="F29" i="41" l="1"/>
  <c r="H29" i="41" s="1"/>
  <c r="F30" i="41"/>
  <c r="H30" i="41" s="1"/>
  <c r="F32" i="41" l="1"/>
  <c r="F34" i="41" s="1"/>
  <c r="H34" i="41" s="1"/>
  <c r="F31" i="41"/>
  <c r="H31" i="41" s="1"/>
  <c r="F33" i="41"/>
  <c r="H33" i="41" s="1"/>
  <c r="H32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tc={9F511D8B-9650-49CD-ABEC-04FD53E25ABD}</author>
    <author>Wentz, Erin</author>
    <author>tc={C06169EC-D220-45A0-9F60-D8A8B1B9507E}</author>
    <author>tc={D53402B5-826C-4B9B-8D90-7815AF149C2B}</author>
  </authors>
  <commentList>
    <comment ref="D8" authorId="0" shapeId="0" xr:uid="{9F511D8B-9650-49CD-ABEC-04FD53E25ABD}">
      <text>
        <t>[Threaded comment]
Your version of Excel allows you to read this threaded comment; however, any edits to it will get removed if the file is opened in a newer version of Excel. Learn more: https://go.microsoft.com/fwlink/?linkid=870924
Comment:
    BHP, Basin, SDWestm and Gillette come from monthly CUS Peaks and Loads file for NITS.</t>
      </text>
    </comment>
    <comment ref="H8" authorId="1" shapeId="0" xr:uid="{7818F6CC-A901-4EAE-9325-C6A154AE2D95}">
      <text>
        <r>
          <rPr>
            <b/>
            <sz val="8"/>
            <color indexed="81"/>
            <rFont val="Tahoma"/>
            <family val="2"/>
          </rPr>
          <t>Wentz, Erin:</t>
        </r>
        <r>
          <rPr>
            <sz val="8"/>
            <color indexed="81"/>
            <rFont val="Tahoma"/>
            <family val="2"/>
          </rPr>
          <t xml:space="preserve">
Use amount in contract and billed
</t>
        </r>
      </text>
    </comment>
    <comment ref="I8" authorId="2" shapeId="0" xr:uid="{C06169EC-D220-45A0-9F60-D8A8B1B9507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longer included in NITS. Previously this was related to the Wygen 1 and 2 loads.</t>
      </text>
    </comment>
    <comment ref="H9" authorId="3" shapeId="0" xr:uid="{D53402B5-826C-4B9B-8D90-7815AF149C2B}">
      <text>
        <t>[Threaded comment]
Your version of Excel allows you to read this threaded comment; however, any edits to it will get removed if the file is opened in a newer version of Excel. Learn more: https://go.microsoft.com/fwlink/?linkid=870924
Comment:
    OASIS &gt; Reservation Billing &gt; Filter on Yearly Firm reservations. Exclude RCEAST.</t>
      </text>
    </comment>
  </commentList>
</comments>
</file>

<file path=xl/sharedStrings.xml><?xml version="1.0" encoding="utf-8"?>
<sst xmlns="http://schemas.openxmlformats.org/spreadsheetml/2006/main" count="635" uniqueCount="403">
  <si>
    <t>Reference</t>
  </si>
  <si>
    <t>CHEYENNE</t>
  </si>
  <si>
    <t>LIGHT CUS</t>
  </si>
  <si>
    <t>SUPPORTING CALCULATIONS AND NOTES</t>
  </si>
  <si>
    <t>Total Transmission Plant</t>
  </si>
  <si>
    <t>TOTAL GROSS PLANT</t>
  </si>
  <si>
    <t xml:space="preserve">TOTAL NET PLANT </t>
  </si>
  <si>
    <t xml:space="preserve">TOTAL ACCUM. DEPRECIATION </t>
  </si>
  <si>
    <t>TOTAL ADJUSTMENTS</t>
  </si>
  <si>
    <t xml:space="preserve">TOTAL WORKING CAPITAL </t>
  </si>
  <si>
    <t xml:space="preserve">TRANSMISSION RATE BASE </t>
  </si>
  <si>
    <t>Total General Plant</t>
  </si>
  <si>
    <t>Tools, Shop and Garage Equipment</t>
  </si>
  <si>
    <t>Proprietary Capital</t>
  </si>
  <si>
    <t>13 month average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</si>
  <si>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</si>
  <si>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</si>
  <si>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</si>
  <si>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</si>
  <si>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</si>
  <si>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</si>
  <si>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</si>
  <si>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</si>
  <si>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</si>
  <si>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</si>
  <si>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(l)</t>
  </si>
  <si>
    <t>(m)</t>
  </si>
  <si>
    <t>(n)</t>
  </si>
  <si>
    <t xml:space="preserve">ADJUSTMENTS TO RATE BASE      </t>
  </si>
  <si>
    <t>Average Balance</t>
  </si>
  <si>
    <t>GROSS PLANT IN SERVICE (101 &amp; 106)</t>
  </si>
  <si>
    <t>ACCUMULATED DEPRECIATION (108)</t>
  </si>
  <si>
    <t>Depreciation rates, PBOP, ROE, and Capital Structure are fixed amounts that can be changed only through a Section 205 filing.</t>
  </si>
  <si>
    <t xml:space="preserve">    Less FERC Annual Fees  (Note D)</t>
  </si>
  <si>
    <t xml:space="preserve">    Plus Transmission Related Reg. Comm.  Exp. (Note E)</t>
  </si>
  <si>
    <t xml:space="preserve">    Less: EPRI &amp; Reg. Comm. Exp. &amp; Non-safety  Ad. (Note E)</t>
  </si>
  <si>
    <t xml:space="preserve">    Less: Account 565 and 561</t>
  </si>
  <si>
    <t>BHP</t>
  </si>
  <si>
    <t>Allocation of the Revenue Credits to the Common Use AC Facilities:</t>
  </si>
  <si>
    <t>205.46.g</t>
  </si>
  <si>
    <t>111.57.c</t>
  </si>
  <si>
    <t>263.i</t>
  </si>
  <si>
    <t>Cash Working Capital assigned to transmission is one-eighth of O&amp;M allocated to transmission at line 42, column 5.</t>
  </si>
  <si>
    <t>Common Use AC Facilities</t>
  </si>
  <si>
    <t>Total Transmission Accumulated Depreciation</t>
  </si>
  <si>
    <t>TPA=</t>
  </si>
  <si>
    <t>TPA</t>
  </si>
  <si>
    <t>Total Distribution Accumulated Depreciation</t>
  </si>
  <si>
    <t>DPA=</t>
  </si>
  <si>
    <t xml:space="preserve">        (page 4)</t>
  </si>
  <si>
    <t xml:space="preserve">  or liabilities related to FASB 109.  Balance of Account 255 is reduced by prior flow through and excluded if the utility </t>
  </si>
  <si>
    <t xml:space="preserve">The FERC's annual charges for the year assessed the Transmission Owner for service since annual charges assessed directly under this tariff. </t>
  </si>
  <si>
    <t xml:space="preserve">Less transmission plant excluded from Common Use Facilities </t>
  </si>
  <si>
    <t xml:space="preserve">Less transmission plant included in Ancillary Services </t>
  </si>
  <si>
    <t xml:space="preserve"> (Note G)</t>
  </si>
  <si>
    <t>TAXES OTHER THAN INCOME TAXES  (Note F)</t>
  </si>
  <si>
    <t xml:space="preserve">       and FIT, SIT &amp; p are as given in footnote G.</t>
  </si>
  <si>
    <t>Auto</t>
  </si>
  <si>
    <t>WS=</t>
  </si>
  <si>
    <t xml:space="preserve">      Allocator</t>
  </si>
  <si>
    <t>BASIN</t>
  </si>
  <si>
    <t>SD</t>
  </si>
  <si>
    <t xml:space="preserve">CITY OF </t>
  </si>
  <si>
    <t>WEST</t>
  </si>
  <si>
    <t>GILLETTE</t>
  </si>
  <si>
    <t>LOAD</t>
  </si>
  <si>
    <t>General Plant</t>
  </si>
  <si>
    <t>207.94.g</t>
  </si>
  <si>
    <t xml:space="preserve">  Communication System</t>
  </si>
  <si>
    <t>DISTRIBUTION PLANT INCLUDED IN JOINT TARIFF RATES</t>
  </si>
  <si>
    <t xml:space="preserve">Total distribution plant    </t>
  </si>
  <si>
    <t xml:space="preserve">Total transmission plant </t>
  </si>
  <si>
    <t>DP=</t>
  </si>
  <si>
    <t xml:space="preserve">Less distribution plant excluded from Common Use Facilities </t>
  </si>
  <si>
    <t xml:space="preserve">Less distribution plant included in Ancillary Services </t>
  </si>
  <si>
    <t>COMMON USE</t>
  </si>
  <si>
    <t>AC LOAD</t>
  </si>
  <si>
    <t>Transmission Plant</t>
  </si>
  <si>
    <t xml:space="preserve">  chose to utilize amortization of tax credits against taxable income.  Account 281 is not allocated.</t>
  </si>
  <si>
    <t xml:space="preserve">  multiplied by (1/1-T) (page 7, line 26).</t>
  </si>
  <si>
    <t>Revenue Credits - Non-Firm transmission revenue</t>
  </si>
  <si>
    <t>TRANSMISSION PLANT INCLUDED IN JOINT TARIFF RATES</t>
  </si>
  <si>
    <t>ANNUAL AVERAGE MW</t>
  </si>
  <si>
    <t>Circular Reference</t>
  </si>
  <si>
    <t>207.58.g</t>
  </si>
  <si>
    <t>207.75.g</t>
  </si>
  <si>
    <t>219.25.c</t>
  </si>
  <si>
    <t>219.26.c</t>
  </si>
  <si>
    <t>267.8.h</t>
  </si>
  <si>
    <t>323.194.b</t>
  </si>
  <si>
    <t>336.11.b</t>
  </si>
  <si>
    <t>354.21.b</t>
  </si>
  <si>
    <t>TRANSMISSION &amp; DISTRIBUTION ALLOCATOR (T&amp;D)</t>
  </si>
  <si>
    <t>Transmission Net Plant</t>
  </si>
  <si>
    <t>Distribution Net Plant</t>
  </si>
  <si>
    <t>T&amp;D</t>
  </si>
  <si>
    <t xml:space="preserve">T&amp;D = </t>
  </si>
  <si>
    <t>227.8.c</t>
  </si>
  <si>
    <t>227.5.c</t>
  </si>
  <si>
    <t>350.1.b</t>
  </si>
  <si>
    <t xml:space="preserve">   related advertising included in Account 930.1.  </t>
  </si>
  <si>
    <t xml:space="preserve">  Allocated Plant</t>
  </si>
  <si>
    <t>321.112.b</t>
  </si>
  <si>
    <t>FIRM</t>
  </si>
  <si>
    <t>POINT TO POINT</t>
  </si>
  <si>
    <t xml:space="preserve">  Total Wages Expense</t>
  </si>
  <si>
    <t>354.28.b</t>
  </si>
  <si>
    <t xml:space="preserve">  Less:  A&amp;G Wages</t>
  </si>
  <si>
    <t>354.27.b</t>
  </si>
  <si>
    <t>(i)</t>
  </si>
  <si>
    <t>August</t>
  </si>
  <si>
    <t>October</t>
  </si>
  <si>
    <t>November</t>
  </si>
  <si>
    <t>January</t>
  </si>
  <si>
    <t>Components of the Annual Rate (lines 6-8)</t>
  </si>
  <si>
    <t>Component Annual Revenue Requirements</t>
  </si>
  <si>
    <t>Service Year</t>
  </si>
  <si>
    <t>Allocated Revenue Credits (lines 2-4)</t>
  </si>
  <si>
    <t xml:space="preserve"> (Note I)</t>
  </si>
  <si>
    <t xml:space="preserve"> (Company Records)</t>
  </si>
  <si>
    <t>Company Records</t>
  </si>
  <si>
    <t>Less distribution accumulated depreciation excluded from Common Use Facilities (Company Records)</t>
  </si>
  <si>
    <t>(Note I)</t>
  </si>
  <si>
    <t>DEPRECIATION EXPENSE  (Note I)</t>
  </si>
  <si>
    <t>February</t>
  </si>
  <si>
    <t>March</t>
  </si>
  <si>
    <t>July</t>
  </si>
  <si>
    <t>September</t>
  </si>
  <si>
    <t>December</t>
  </si>
  <si>
    <t>April</t>
  </si>
  <si>
    <t>May</t>
  </si>
  <si>
    <t>June</t>
  </si>
  <si>
    <t xml:space="preserve">  Taxes related to income are excluded.  Gross receipts taxes are not included in transmission revenue requirement in rates, </t>
  </si>
  <si>
    <t xml:space="preserve"> </t>
  </si>
  <si>
    <t xml:space="preserve"> Utilizing FERC Form 1 Data</t>
  </si>
  <si>
    <t>Line</t>
  </si>
  <si>
    <t>No.</t>
  </si>
  <si>
    <t>Total</t>
  </si>
  <si>
    <t>TP</t>
  </si>
  <si>
    <t>(1)</t>
  </si>
  <si>
    <t>(2)</t>
  </si>
  <si>
    <t>(3)</t>
  </si>
  <si>
    <t>(4)</t>
  </si>
  <si>
    <t>(5)</t>
  </si>
  <si>
    <t>Form No. 1</t>
  </si>
  <si>
    <t>Transmission</t>
  </si>
  <si>
    <t>Page, Line, Col.</t>
  </si>
  <si>
    <t>Company Total</t>
  </si>
  <si>
    <t>(Col 3 times Col 4)</t>
  </si>
  <si>
    <t>RATE BASE:</t>
  </si>
  <si>
    <t>GROSS PLANT IN SERVICE</t>
  </si>
  <si>
    <t xml:space="preserve">  Production</t>
  </si>
  <si>
    <t>NA</t>
  </si>
  <si>
    <t xml:space="preserve">  Transmission</t>
  </si>
  <si>
    <t xml:space="preserve">  Distribution</t>
  </si>
  <si>
    <t xml:space="preserve">  General &amp; Intangible</t>
  </si>
  <si>
    <t>W/S</t>
  </si>
  <si>
    <t xml:space="preserve">  Common</t>
  </si>
  <si>
    <t>356.1</t>
  </si>
  <si>
    <t>GP=</t>
  </si>
  <si>
    <t>ACCUMULATED DEPRECIATION</t>
  </si>
  <si>
    <t>NET PLANT IN SERVICE</t>
  </si>
  <si>
    <t>NP=</t>
  </si>
  <si>
    <t>273.8.k</t>
  </si>
  <si>
    <t>NP</t>
  </si>
  <si>
    <t>275.2.k</t>
  </si>
  <si>
    <t>277.9.k</t>
  </si>
  <si>
    <t>234.8.c</t>
  </si>
  <si>
    <t xml:space="preserve">LAND HELD FOR FUTURE USE </t>
  </si>
  <si>
    <t>GP</t>
  </si>
  <si>
    <t>O&amp;M</t>
  </si>
  <si>
    <t xml:space="preserve">  Transmission </t>
  </si>
  <si>
    <t xml:space="preserve">  A&amp;G</t>
  </si>
  <si>
    <t xml:space="preserve">  LABOR RELATED</t>
  </si>
  <si>
    <t xml:space="preserve">          Payroll</t>
  </si>
  <si>
    <t xml:space="preserve">          Highway and vehicle</t>
  </si>
  <si>
    <t xml:space="preserve">  PLANT RELATED</t>
  </si>
  <si>
    <t xml:space="preserve">         Property</t>
  </si>
  <si>
    <t xml:space="preserve">         Gross Receipts</t>
  </si>
  <si>
    <t xml:space="preserve">         Other</t>
  </si>
  <si>
    <t xml:space="preserve">INCOME TAXES          </t>
  </si>
  <si>
    <t xml:space="preserve">RETURN </t>
  </si>
  <si>
    <t>TP=</t>
  </si>
  <si>
    <t>WAGES &amp; SALARY ALLOCATOR   (W&amp;S)</t>
  </si>
  <si>
    <t>Form 1 Reference</t>
  </si>
  <si>
    <t>$</t>
  </si>
  <si>
    <t>Allocation</t>
  </si>
  <si>
    <t>W&amp;S Allocator</t>
  </si>
  <si>
    <t>($ / Allocation)</t>
  </si>
  <si>
    <t>CE</t>
  </si>
  <si>
    <t>RETURN (R)</t>
  </si>
  <si>
    <t>Cost</t>
  </si>
  <si>
    <t>%</t>
  </si>
  <si>
    <t>Weighted</t>
  </si>
  <si>
    <t>Note</t>
  </si>
  <si>
    <t>Letter</t>
  </si>
  <si>
    <t>A</t>
  </si>
  <si>
    <t>B</t>
  </si>
  <si>
    <t>C</t>
  </si>
  <si>
    <t>D</t>
  </si>
  <si>
    <t>E</t>
  </si>
  <si>
    <t>F</t>
  </si>
  <si>
    <t>G</t>
  </si>
  <si>
    <t>Identified in Form 1 as being only transmission related.</t>
  </si>
  <si>
    <t>H</t>
  </si>
  <si>
    <t>I</t>
  </si>
  <si>
    <t>Includes only FICA, unemployment, highway, property, gross receipts, and other assessments charged in the current year.</t>
  </si>
  <si>
    <t xml:space="preserve">  Account No. 281 (enter negative)</t>
  </si>
  <si>
    <t xml:space="preserve">  Account No. 282 (enter negative)</t>
  </si>
  <si>
    <t xml:space="preserve">  Account No. 283 (enter negative)</t>
  </si>
  <si>
    <t xml:space="preserve">  Account No. 255 (enter negative)</t>
  </si>
  <si>
    <t xml:space="preserve">  Account No. 190 </t>
  </si>
  <si>
    <t xml:space="preserve">  Prepayments (Account 165)</t>
  </si>
  <si>
    <t>The currently effective income tax rate,  where FIT is the Federal income tax rate; SIT is the State income tax rate, and p =</t>
  </si>
  <si>
    <t>Total Income Taxes</t>
  </si>
  <si>
    <t xml:space="preserve">  "the percentage of federal income tax deductible for state income taxes".  If the utility is taxed in more than one state it must attach a</t>
  </si>
  <si>
    <t xml:space="preserve">  work paper showing the name of each state and how the blended or composite SIT was developed.  Furthermore, a utility that</t>
  </si>
  <si>
    <t xml:space="preserve">  elected to utilize amortization of tax credits against taxable income, rather than book tax credits to Account No. 255 and reduce </t>
  </si>
  <si>
    <t xml:space="preserve">  rate base, must reduce its income tax expense by the amount of the Amortized Investment Tax Credit (Form 1, 266.8.f)</t>
  </si>
  <si>
    <t>FIT =</t>
  </si>
  <si>
    <t>SIT=</t>
  </si>
  <si>
    <t xml:space="preserve">  (State Income Tax Rate or Composite SIT)</t>
  </si>
  <si>
    <t>p =</t>
  </si>
  <si>
    <t xml:space="preserve">  (percent of federal income tax deductible for state purposes)</t>
  </si>
  <si>
    <t xml:space="preserve">     T=1 - {[(1 - SIT) * (1 - FIT)] / (1 - SIT * FIT * p)} =</t>
  </si>
  <si>
    <t xml:space="preserve">     CIT=(T/1-T) * (1-(WCLTD/R)) =</t>
  </si>
  <si>
    <t xml:space="preserve">         Inputs Required:</t>
  </si>
  <si>
    <t xml:space="preserve">  CWC  </t>
  </si>
  <si>
    <t>zero</t>
  </si>
  <si>
    <t xml:space="preserve">   since they are recovered elsewhere.</t>
  </si>
  <si>
    <t xml:space="preserve">  FAS 109 Adjustment</t>
  </si>
  <si>
    <t xml:space="preserve">    Plus:  Fixed PBOP expense</t>
  </si>
  <si>
    <t xml:space="preserve">    Less:  Actual PBOP expense</t>
  </si>
  <si>
    <t xml:space="preserve">  General &amp; intangible</t>
  </si>
  <si>
    <t xml:space="preserve">  Distribution </t>
  </si>
  <si>
    <t>WORKING CAPITAL  (Notes C &amp; H)</t>
  </si>
  <si>
    <t>Annual Rate</t>
  </si>
  <si>
    <t>Black Hills Power, Inc.</t>
  </si>
  <si>
    <t>Cost of Service</t>
  </si>
  <si>
    <t>TOTAL</t>
  </si>
  <si>
    <t xml:space="preserve">  Long Term Debt</t>
  </si>
  <si>
    <t xml:space="preserve">  Preferred Stock </t>
  </si>
  <si>
    <t>Long Term Interest</t>
  </si>
  <si>
    <t>Preferred Dividends</t>
  </si>
  <si>
    <t>118.29.c (positive number)</t>
  </si>
  <si>
    <t>Development of Common Stock:</t>
  </si>
  <si>
    <t>112.16.c</t>
  </si>
  <si>
    <t>Less:  Preferred Stock</t>
  </si>
  <si>
    <t>112.3.c</t>
  </si>
  <si>
    <t>Less:  Undistributed Earnings</t>
  </si>
  <si>
    <t>112.12.c (enter negative)</t>
  </si>
  <si>
    <t>Less:  Accum Other Comp Inc</t>
  </si>
  <si>
    <t>112.15.c (enter negative)</t>
  </si>
  <si>
    <t xml:space="preserve">   Adjusted Common Stock</t>
  </si>
  <si>
    <t xml:space="preserve">  Adjusted Common Stock</t>
  </si>
  <si>
    <t>Plant Type</t>
  </si>
  <si>
    <t>Land and Land Rights</t>
  </si>
  <si>
    <t>Structures and Improvements</t>
  </si>
  <si>
    <t>Station Equipment</t>
  </si>
  <si>
    <t>Towers and Fixtures</t>
  </si>
  <si>
    <t>Poles and Fixtures</t>
  </si>
  <si>
    <t>Overhead Conductors and Devices</t>
  </si>
  <si>
    <t>Roads and Trails</t>
  </si>
  <si>
    <t>Office Furniture and Equipment</t>
  </si>
  <si>
    <t>Transportation Equipment</t>
  </si>
  <si>
    <t>Stores Equipment</t>
  </si>
  <si>
    <t>Laboratory Equipment</t>
  </si>
  <si>
    <t>Power Operated Equipment</t>
  </si>
  <si>
    <t>Communication Equipment</t>
  </si>
  <si>
    <t>Miscellaneous Equipment</t>
  </si>
  <si>
    <t xml:space="preserve">R = </t>
  </si>
  <si>
    <t xml:space="preserve">  Materials &amp; Supplies</t>
  </si>
  <si>
    <t xml:space="preserve">The balances in Accounts 281, 282, 283 and 190, as adjusted by any amounts in contra accounts identified as regulatory assets </t>
  </si>
  <si>
    <t>Joint Tariff Rates</t>
  </si>
  <si>
    <t>Revenue Credits</t>
  </si>
  <si>
    <t>Allocated Revenue Credits</t>
  </si>
  <si>
    <t>Black Hills</t>
  </si>
  <si>
    <t>Basin Electric</t>
  </si>
  <si>
    <t>PRECorp</t>
  </si>
  <si>
    <t>Common Use AC Facilities Rates:</t>
  </si>
  <si>
    <t>Entity</t>
  </si>
  <si>
    <t>Net Revenue Requirements</t>
  </si>
  <si>
    <t>Rates:</t>
  </si>
  <si>
    <t>Annual</t>
  </si>
  <si>
    <t>/kW-year</t>
  </si>
  <si>
    <t>Monthly</t>
  </si>
  <si>
    <t>/kW-month</t>
  </si>
  <si>
    <t>Weekly</t>
  </si>
  <si>
    <t>/kW-week</t>
  </si>
  <si>
    <t>Daily On-Peak</t>
  </si>
  <si>
    <t>6 days/week</t>
  </si>
  <si>
    <t>/kW-day</t>
  </si>
  <si>
    <t>Daily Off-Peak</t>
  </si>
  <si>
    <t>7 days/week</t>
  </si>
  <si>
    <t>Hourly On-Peak</t>
  </si>
  <si>
    <t>16 hours/day</t>
  </si>
  <si>
    <t>/kW-hour</t>
  </si>
  <si>
    <t>Hourly Off-Peak</t>
  </si>
  <si>
    <t>24 hours/day</t>
  </si>
  <si>
    <t>Check:</t>
  </si>
  <si>
    <t>DA</t>
  </si>
  <si>
    <t xml:space="preserve">112.24.c </t>
  </si>
  <si>
    <t>Note:  to address the circular reference</t>
  </si>
  <si>
    <t>copy and paste values from cells H22:H24</t>
  </si>
  <si>
    <t>to L22:L24 until the rates in H22:H24 no</t>
  </si>
  <si>
    <t>longer change.</t>
  </si>
  <si>
    <t>Line 1 - EPRI Annual Membership Dues listed in Form 1 at 335.1.b, all Regulatory Commission Expenses itemized at 351.h, and non-safety</t>
  </si>
  <si>
    <t>113.62.c</t>
  </si>
  <si>
    <t>113.63.c</t>
  </si>
  <si>
    <t>113.64.c</t>
  </si>
  <si>
    <t>111.82.c</t>
  </si>
  <si>
    <t>113.57.c</t>
  </si>
  <si>
    <t xml:space="preserve">Less transmission accumulated depreciation excluded from Common Use Facilities </t>
  </si>
  <si>
    <t>207.99.g - line 6</t>
  </si>
  <si>
    <t>219.20-24.c</t>
  </si>
  <si>
    <t>2 - Transmission projected load from Transmission Planning</t>
  </si>
  <si>
    <t>(Note H) **</t>
  </si>
  <si>
    <t>** Columns a and m use the FERC Form 1 balance except where otherwise referenced. Columns b through l are the Company's FERC account balances.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</si>
  <si>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Communication System Accumulated Depreciation based on Communication System Plant in Service share of General &amp; Intangible Accumulated Depreciation.</t>
    </r>
  </si>
  <si>
    <t>Rates*</t>
  </si>
  <si>
    <t>Date</t>
  </si>
  <si>
    <t>(Note H)</t>
  </si>
  <si>
    <t>321.84-92.b &amp; 96.b</t>
  </si>
  <si>
    <t>336.7.b</t>
  </si>
  <si>
    <t>336.10.b &amp; 336.1.d&amp;e</t>
  </si>
  <si>
    <t>263.3i, 263.4i, 263.12i</t>
  </si>
  <si>
    <t>263.23i</t>
  </si>
  <si>
    <t>117, sum of 62.c through 66.c</t>
  </si>
  <si>
    <t>201.13.e + 201.13.f</t>
  </si>
  <si>
    <t>See Workpaper 9 (column b)</t>
  </si>
  <si>
    <t xml:space="preserve">201.14.e + 201.14.f </t>
  </si>
  <si>
    <t>See Workpaper 9 (column c)</t>
  </si>
  <si>
    <t>Expense</t>
  </si>
  <si>
    <t>in Service</t>
  </si>
  <si>
    <t>Depreciation</t>
  </si>
  <si>
    <t>Asset Placed</t>
  </si>
  <si>
    <t>(Col A * Depr Rate/12)</t>
  </si>
  <si>
    <t>(A)</t>
  </si>
  <si>
    <t>Transmission Plant Depreciation Rate (WP 5 line 11)</t>
  </si>
  <si>
    <t>Amount Placed</t>
  </si>
  <si>
    <t xml:space="preserve"> WORKPAPER 2
CAPITAL ADDITIONS
BLACK HILLS POWER, INC.</t>
  </si>
  <si>
    <t>BHP-11 Page 6</t>
  </si>
  <si>
    <t>Annual Transmission Depreciation Expense (line 19 x line 21)</t>
  </si>
  <si>
    <t>Weighted Amount in Service</t>
  </si>
  <si>
    <t>Weighting</t>
  </si>
  <si>
    <t>Monthly Incremental Addition to the CUS System</t>
  </si>
  <si>
    <t>(D) = (B) * (C)/12</t>
  </si>
  <si>
    <t>(C)</t>
  </si>
  <si>
    <t>(B)</t>
  </si>
  <si>
    <t>WORKPAPER 3
CAPITAL ADDITIONS
BLACK HILLS POWER, INC.</t>
  </si>
  <si>
    <t>BHP-11 Page 7</t>
  </si>
  <si>
    <t>BHP-11 Page 11</t>
  </si>
  <si>
    <t>BHP-11 Page 9</t>
  </si>
  <si>
    <t>(line 4)</t>
  </si>
  <si>
    <t xml:space="preserve">  New Construction CUS Assets</t>
  </si>
  <si>
    <t>See Workpaper 2 (line 9)</t>
  </si>
  <si>
    <t>See Workpaper 3 (line 19 col D)</t>
  </si>
  <si>
    <t xml:space="preserve">  Additional Transmission Depr</t>
  </si>
  <si>
    <t>See Workpaper 2 (line 13)</t>
  </si>
  <si>
    <t>See Workpaper 3 (line 23)</t>
  </si>
  <si>
    <t>BHP-11 Page 8</t>
  </si>
  <si>
    <t>WORKPAPER 5
DEPRECIATION RATES
BLACK HILLS POWER, INC</t>
  </si>
  <si>
    <t>See Workpaper 4 (line 5 col 1)</t>
  </si>
  <si>
    <t>See Workpaper 5 (line 5)</t>
  </si>
  <si>
    <t>207.94g</t>
  </si>
  <si>
    <t>See Workpaper 4 (line 24 col 1)</t>
  </si>
  <si>
    <t>See Workpaper 5 (line 11)</t>
  </si>
  <si>
    <t>See Workpaper 4 (line 22 col 2)</t>
  </si>
  <si>
    <t>(Note A)</t>
  </si>
  <si>
    <t>214.x.d  (Notes B)</t>
  </si>
  <si>
    <t>(Workpaper 1 line 11)</t>
  </si>
  <si>
    <t>Column (3) lines 2 - 4</t>
  </si>
  <si>
    <t>Column (3) lines 14 - 15</t>
  </si>
  <si>
    <t>MW-year</t>
  </si>
  <si>
    <t>(232.1.f - 278.3.f)*0.21</t>
  </si>
  <si>
    <t>* The above rates were developed in June 2006. See Note I on tab: Estimate.</t>
  </si>
  <si>
    <t>214.x.d  (Notes B &amp; H on tab: Estimate)</t>
  </si>
  <si>
    <t>WORKING CAPITAL  EXCLUDING CASH WORKING CAPITAL (Notes C &amp; H on tab: Estimate)</t>
  </si>
  <si>
    <t>For the True-Up calculation only, Gross Plant, Accumulated Depreciation and Net Plant are based on the 13-monthly plant balances.</t>
  </si>
  <si>
    <t>ADJUSTMENTS TO RATE BASE       (Notes A &amp; H on tab: Estimate)</t>
  </si>
  <si>
    <t>(232.1.f - 278.1.f - 278.3.f)*.35</t>
  </si>
  <si>
    <t>Monthly Additions to the CUS System</t>
  </si>
  <si>
    <t>Total 2024 CUS Transmission Assets Place in Service</t>
  </si>
  <si>
    <t>Transmission Accumulated Depreciation for 2024 &amp; 2025</t>
  </si>
  <si>
    <t>2025 Weighted Average Plant in Service Additions for projects</t>
  </si>
  <si>
    <t xml:space="preserve">Jan-24 - See line 2 col 5 of Estimate </t>
  </si>
  <si>
    <t>Subtotal of 2024 Increase for Accumulated Depreciation</t>
  </si>
  <si>
    <t>See WP3 for additional information on 2025 Transmission Additions</t>
  </si>
  <si>
    <t>39a</t>
  </si>
  <si>
    <t>EDIT/DDIT (Net) - Transmission Only</t>
  </si>
  <si>
    <t>See Workpaper 8.1 EDIT-DDIT Estimate (line 68, col H)</t>
  </si>
  <si>
    <t>Amortization of EDIT/DDIT (NET) (Note J)</t>
  </si>
  <si>
    <t>See Workpaper 8.1 EDIT-DDIT Estimate (line 63, col H)</t>
  </si>
  <si>
    <t>J</t>
  </si>
  <si>
    <t>The amounts reported in this line include the applicable tax gross up.  Column 3 Company Total will not be populated as allocation to transmission occurs on Worksheet EDIT-DDIT-Tracking.</t>
  </si>
  <si>
    <t>BHP-11 Page 1 
Date: September 30, 2024</t>
  </si>
  <si>
    <t>Amount based on actual calendar year 2023</t>
  </si>
  <si>
    <t>12/31/22 &amp; 12/31/23 average balance</t>
  </si>
  <si>
    <r>
      <t>2024 Actual Load Data</t>
    </r>
    <r>
      <rPr>
        <b/>
        <vertAlign val="superscript"/>
        <sz val="12"/>
        <rFont val="Arial"/>
        <family val="2"/>
      </rPr>
      <t>1</t>
    </r>
  </si>
  <si>
    <r>
      <t>2025 Projected Load Data</t>
    </r>
    <r>
      <rPr>
        <b/>
        <vertAlign val="superscript"/>
        <sz val="12"/>
        <rFont val="Arial"/>
        <family val="2"/>
      </rPr>
      <t>2</t>
    </r>
  </si>
  <si>
    <t>FOR RATES EFFECTIVE JANUARY 1, 2025</t>
  </si>
  <si>
    <t>Projected 2025 Load</t>
  </si>
  <si>
    <t>1 - Transmission actual load from PowerOptix through August 2024.  Starting September 2024, projected load from Power Optix.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</si>
</sst>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"/>
    <numFmt numFmtId="166" formatCode="0.00000"/>
    <numFmt numFmtId="167" formatCode="#,##0.0000"/>
    <numFmt numFmtId="168" formatCode="0.0000"/>
    <numFmt numFmtId="169" formatCode="&quot;$&quot;#,##0"/>
    <numFmt numFmtId="170" formatCode="0.0%"/>
    <numFmt numFmtId="171" formatCode="#,##0.0"/>
    <numFmt numFmtId="172" formatCode="&quot;$&quot;#,##0.00"/>
    <numFmt numFmtId="173" formatCode="_(* #,##0_);_(* \(#,##0\);_(* &quot;-&quot;??_);_(@_)"/>
    <numFmt numFmtId="174" formatCode="_(&quot;$&quot;* #,##0_);_(&quot;$&quot;* \(#,##0\);_(&quot;$&quot;* &quot;-&quot;??_);_(@_)"/>
    <numFmt numFmtId="175" formatCode="_(* #,##0.0000_);_(* \(#,##0.0000\);_(* &quot;-&quot;??_);_(@_)"/>
    <numFmt numFmtId="176" formatCode="0.0000000"/>
    <numFmt numFmtId="177" formatCode="_(* #,##0.0_);_(* \(#,##0.0\);_(* &quot;-&quot;??_);_(@_)"/>
    <numFmt numFmtId="178" formatCode="_(&quot;$&quot;* #,##0.0000_);_(&quot;$&quot;* \(#,##0.0000\);_(&quot;$&quot;* &quot;-&quot;??_);_(@_)"/>
    <numFmt numFmtId="179" formatCode="_(&quot;$&quot;* #,##0.00000_);_(&quot;$&quot;* \(#,##0.00000\);_(&quot;$&quot;* &quot;-&quot;??_);_(@_)"/>
    <numFmt numFmtId="180" formatCode="[$-409]mmmm\-yy;@"/>
    <numFmt numFmtId="181" formatCode="mmm\-yyyy"/>
    <numFmt numFmtId="182" formatCode="#,##0.000000"/>
    <numFmt numFmtId="183" formatCode="[$-409]mmm\-yy;@"/>
    <numFmt numFmtId="184" formatCode="&quot;$&quot;#,##0.0;[Red]\-&quot;$&quot;#,##0.0"/>
    <numFmt numFmtId="185" formatCode="00000"/>
    <numFmt numFmtId="186" formatCode="#,##0\ ;\(#,##0\);\-\ \ \ \ \ "/>
    <numFmt numFmtId="187" formatCode="#,##0\ ;\(#,##0\);\–\ \ \ \ \ "/>
    <numFmt numFmtId="188" formatCode="#,##0;\(#,##0\)"/>
    <numFmt numFmtId="189" formatCode="yyyymmdd"/>
    <numFmt numFmtId="190" formatCode="_([$€-2]* #,##0.00_);_([$€-2]* \(#,##0.00\);_([$€-2]* &quot;-&quot;??_)"/>
    <numFmt numFmtId="191" formatCode="_-* #,##0.0_-;\-* #,##0.0_-;_-* &quot;-&quot;??_-;_-@_-"/>
    <numFmt numFmtId="192" formatCode="#,##0.00&quot; $&quot;;\-#,##0.00&quot; $&quot;"/>
    <numFmt numFmtId="193" formatCode="000000000"/>
    <numFmt numFmtId="194" formatCode="#,##0.0_);\(#,##0.0\)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0.00_)"/>
    <numFmt numFmtId="198" formatCode="00"/>
    <numFmt numFmtId="199" formatCode="0_);\(0\)"/>
    <numFmt numFmtId="200" formatCode="000\-00\-0000"/>
    <numFmt numFmtId="201" formatCode="[$-409]mmmm\ d\,\ yyyy;@"/>
  </numFmts>
  <fonts count="89">
    <font>
      <sz val="12"/>
      <name val="Arial MT"/>
    </font>
    <font>
      <sz val="12"/>
      <name val="Arial MT"/>
    </font>
    <font>
      <sz val="12"/>
      <name val="Arial MT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 MT"/>
    </font>
    <font>
      <sz val="12"/>
      <color indexed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2"/>
      <color indexed="10"/>
      <name val="Arial"/>
      <family val="2"/>
    </font>
    <font>
      <b/>
      <sz val="18"/>
      <name val="Arial"/>
      <family val="2"/>
    </font>
    <font>
      <sz val="8"/>
      <name val="Helv"/>
    </font>
    <font>
      <sz val="9"/>
      <name val="AGaramond"/>
    </font>
    <font>
      <sz val="12"/>
      <name val="Tms Rmn"/>
    </font>
    <font>
      <sz val="11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12"/>
      <name val="Helv"/>
    </font>
    <font>
      <sz val="10"/>
      <name val="Helv"/>
    </font>
    <font>
      <sz val="9"/>
      <name val="GillSans"/>
    </font>
    <font>
      <sz val="9"/>
      <name val="GillSans Light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sz val="10"/>
      <color indexed="12"/>
      <name val="Arial"/>
      <family val="2"/>
    </font>
    <font>
      <sz val="12"/>
      <color indexed="14"/>
      <name val="Arial"/>
      <family val="2"/>
    </font>
    <font>
      <u/>
      <sz val="8"/>
      <name val="Helv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i/>
      <sz val="16"/>
      <name val="Arial"/>
      <family val="2"/>
    </font>
    <font>
      <i/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sz val="8"/>
      <color indexed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CC00FF"/>
      <name val="Arial"/>
      <family val="2"/>
    </font>
    <font>
      <sz val="10"/>
      <color rgb="FFCC00FF"/>
      <name val="Arial"/>
      <family val="2"/>
    </font>
    <font>
      <sz val="12"/>
      <color rgb="FFCC00FF"/>
      <name val="Arial MT"/>
    </font>
    <font>
      <b/>
      <sz val="10"/>
      <color rgb="FFCC00FF"/>
      <name val="Arial"/>
      <family val="2"/>
    </font>
    <font>
      <b/>
      <sz val="12"/>
      <color rgb="FFCC00FF"/>
      <name val="Arial MT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CC00FF"/>
      <name val="Times New Roman"/>
      <family val="1"/>
    </font>
    <font>
      <sz val="12"/>
      <color rgb="FFCC00FF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172" fontId="0" fillId="0" borderId="0" applyProtection="0"/>
    <xf numFmtId="0" fontId="6" fillId="0" borderId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0" fontId="6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38" fontId="38" fillId="0" borderId="0" applyBorder="0" applyAlignment="0"/>
    <xf numFmtId="184" fontId="35" fillId="20" borderId="1">
      <alignment horizontal="center" vertical="center"/>
    </xf>
    <xf numFmtId="185" fontId="6" fillId="0" borderId="2">
      <alignment horizontal="left"/>
    </xf>
    <xf numFmtId="0" fontId="39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0" fillId="0" borderId="0" applyNumberFormat="0" applyFill="0" applyBorder="0" applyAlignment="0" applyProtection="0"/>
    <xf numFmtId="186" fontId="41" fillId="0" borderId="3" applyNumberFormat="0" applyFill="0" applyAlignment="0" applyProtection="0">
      <alignment horizontal="center"/>
    </xf>
    <xf numFmtId="187" fontId="41" fillId="0" borderId="4" applyFill="0" applyAlignment="0" applyProtection="0">
      <alignment horizontal="center"/>
    </xf>
    <xf numFmtId="38" fontId="6" fillId="0" borderId="0">
      <alignment horizontal="right"/>
    </xf>
    <xf numFmtId="37" fontId="7" fillId="0" borderId="0" applyFill="0">
      <alignment horizontal="right"/>
    </xf>
    <xf numFmtId="37" fontId="7" fillId="0" borderId="0">
      <alignment horizontal="right"/>
    </xf>
    <xf numFmtId="0" fontId="7" fillId="0" borderId="0" applyFill="0">
      <alignment horizontal="center"/>
    </xf>
    <xf numFmtId="37" fontId="7" fillId="0" borderId="5" applyFill="0">
      <alignment horizontal="right"/>
    </xf>
    <xf numFmtId="37" fontId="7" fillId="0" borderId="0">
      <alignment horizontal="right"/>
    </xf>
    <xf numFmtId="0" fontId="42" fillId="0" borderId="0" applyFill="0">
      <alignment vertical="top"/>
    </xf>
    <xf numFmtId="0" fontId="43" fillId="0" borderId="0" applyFill="0">
      <alignment horizontal="left" vertical="top"/>
    </xf>
    <xf numFmtId="37" fontId="7" fillId="0" borderId="6" applyFill="0">
      <alignment horizontal="right"/>
    </xf>
    <xf numFmtId="0" fontId="6" fillId="0" borderId="0" applyNumberFormat="0" applyFont="0" applyAlignment="0"/>
    <xf numFmtId="0" fontId="42" fillId="0" borderId="0" applyFill="0">
      <alignment wrapText="1"/>
    </xf>
    <xf numFmtId="0" fontId="43" fillId="0" borderId="0" applyFill="0">
      <alignment horizontal="left" vertical="top" wrapText="1"/>
    </xf>
    <xf numFmtId="37" fontId="7" fillId="0" borderId="0" applyFill="0">
      <alignment horizontal="right"/>
    </xf>
    <xf numFmtId="0" fontId="44" fillId="0" borderId="0" applyNumberFormat="0" applyFont="0" applyAlignment="0">
      <alignment horizontal="center"/>
    </xf>
    <xf numFmtId="0" fontId="45" fillId="0" borderId="0" applyFill="0">
      <alignment vertical="top" wrapText="1"/>
    </xf>
    <xf numFmtId="0" fontId="5" fillId="0" borderId="0" applyFill="0">
      <alignment horizontal="left" vertical="top" wrapText="1"/>
    </xf>
    <xf numFmtId="37" fontId="7" fillId="0" borderId="0" applyFill="0">
      <alignment horizontal="right"/>
    </xf>
    <xf numFmtId="0" fontId="44" fillId="0" borderId="0" applyNumberFormat="0" applyFont="0" applyAlignment="0">
      <alignment horizontal="center"/>
    </xf>
    <xf numFmtId="0" fontId="46" fillId="0" borderId="0" applyFill="0">
      <alignment vertical="center" wrapText="1"/>
    </xf>
    <xf numFmtId="0" fontId="3" fillId="0" borderId="0">
      <alignment horizontal="left" vertical="center" wrapText="1"/>
    </xf>
    <xf numFmtId="37" fontId="7" fillId="0" borderId="0" applyFill="0">
      <alignment horizontal="right"/>
    </xf>
    <xf numFmtId="0" fontId="44" fillId="0" borderId="0" applyNumberFormat="0" applyFont="0" applyAlignment="0">
      <alignment horizontal="center"/>
    </xf>
    <xf numFmtId="0" fontId="4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37" fontId="48" fillId="0" borderId="0" applyFill="0">
      <alignment horizontal="right"/>
    </xf>
    <xf numFmtId="0" fontId="44" fillId="0" borderId="0" applyNumberFormat="0" applyFont="0" applyAlignment="0">
      <alignment horizontal="center"/>
    </xf>
    <xf numFmtId="0" fontId="49" fillId="0" borderId="0" applyFill="0">
      <alignment horizontal="center" vertical="center" wrapText="1"/>
    </xf>
    <xf numFmtId="0" fontId="50" fillId="0" borderId="0" applyFill="0">
      <alignment horizontal="center" vertical="center" wrapText="1"/>
    </xf>
    <xf numFmtId="37" fontId="48" fillId="0" borderId="0" applyFill="0">
      <alignment horizontal="right"/>
    </xf>
    <xf numFmtId="0" fontId="44" fillId="0" borderId="0" applyNumberFormat="0" applyFont="0" applyAlignment="0">
      <alignment horizontal="center"/>
    </xf>
    <xf numFmtId="0" fontId="51" fillId="0" borderId="0">
      <alignment horizontal="center" wrapText="1"/>
    </xf>
    <xf numFmtId="0" fontId="52" fillId="0" borderId="0" applyFill="0">
      <alignment horizontal="center" wrapText="1"/>
    </xf>
    <xf numFmtId="0" fontId="19" fillId="21" borderId="7" applyNumberFormat="0" applyAlignment="0" applyProtection="0"/>
    <xf numFmtId="0" fontId="19" fillId="21" borderId="7" applyNumberFormat="0" applyAlignment="0" applyProtection="0"/>
    <xf numFmtId="0" fontId="20" fillId="22" borderId="8" applyNumberFormat="0" applyAlignment="0" applyProtection="0"/>
    <xf numFmtId="0" fontId="20" fillId="22" borderId="8" applyNumberFormat="0" applyAlignment="0" applyProtection="0"/>
    <xf numFmtId="43" fontId="6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9" fontId="6" fillId="0" borderId="2">
      <alignment horizontal="center"/>
    </xf>
    <xf numFmtId="190" fontId="5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91" fontId="6" fillId="0" borderId="0">
      <protection locked="0"/>
    </xf>
    <xf numFmtId="0" fontId="56" fillId="0" borderId="0"/>
    <xf numFmtId="0" fontId="57" fillId="0" borderId="0"/>
    <xf numFmtId="0" fontId="58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38" fontId="7" fillId="23" borderId="0" applyNumberFormat="0" applyBorder="0" applyAlignment="0" applyProtection="0"/>
    <xf numFmtId="0" fontId="59" fillId="0" borderId="0" applyNumberFormat="0" applyFill="0" applyBorder="0" applyAlignment="0" applyProtection="0"/>
    <xf numFmtId="0" fontId="5" fillId="0" borderId="9" applyNumberFormat="0" applyAlignment="0" applyProtection="0">
      <alignment horizontal="left" vertical="center"/>
    </xf>
    <xf numFmtId="0" fontId="5" fillId="0" borderId="10">
      <alignment horizontal="left" vertical="center"/>
    </xf>
    <xf numFmtId="0" fontId="60" fillId="0" borderId="0">
      <alignment horizontal="center"/>
    </xf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92" fontId="6" fillId="0" borderId="0">
      <protection locked="0"/>
    </xf>
    <xf numFmtId="192" fontId="6" fillId="0" borderId="0">
      <protection locked="0"/>
    </xf>
    <xf numFmtId="0" fontId="61" fillId="0" borderId="14" applyNumberFormat="0" applyFill="0" applyAlignment="0" applyProtection="0"/>
    <xf numFmtId="0" fontId="26" fillId="7" borderId="7" applyNumberFormat="0" applyAlignment="0" applyProtection="0"/>
    <xf numFmtId="10" fontId="7" fillId="24" borderId="2" applyNumberFormat="0" applyBorder="0" applyAlignment="0" applyProtection="0"/>
    <xf numFmtId="0" fontId="26" fillId="7" borderId="7" applyNumberFormat="0" applyAlignment="0" applyProtection="0"/>
    <xf numFmtId="0" fontId="7" fillId="23" borderId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93" fontId="6" fillId="0" borderId="2">
      <alignment horizontal="center"/>
    </xf>
    <xf numFmtId="194" fontId="62" fillId="0" borderId="0"/>
    <xf numFmtId="17" fontId="63" fillId="0" borderId="0">
      <alignment horizontal="center"/>
    </xf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43" fontId="64" fillId="0" borderId="0" applyNumberFormat="0" applyFill="0" applyBorder="0" applyAlignment="0" applyProtection="0"/>
    <xf numFmtId="0" fontId="41" fillId="0" borderId="0" applyNumberFormat="0" applyFill="0" applyAlignment="0" applyProtection="0"/>
    <xf numFmtId="37" fontId="65" fillId="0" borderId="0"/>
    <xf numFmtId="197" fontId="66" fillId="0" borderId="0"/>
    <xf numFmtId="172" fontId="1" fillId="0" borderId="0" applyProtection="0"/>
    <xf numFmtId="0" fontId="6" fillId="0" borderId="0"/>
    <xf numFmtId="0" fontId="79" fillId="0" borderId="0"/>
    <xf numFmtId="0" fontId="54" fillId="0" borderId="0"/>
    <xf numFmtId="0" fontId="6" fillId="0" borderId="2">
      <alignment horizontal="center" wrapText="1"/>
    </xf>
    <xf numFmtId="2" fontId="6" fillId="0" borderId="2">
      <alignment horizontal="center"/>
    </xf>
    <xf numFmtId="198" fontId="9" fillId="0" borderId="2" applyFont="0">
      <alignment horizont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26" borderId="16" applyNumberFormat="0" applyFont="0" applyAlignment="0" applyProtection="0"/>
    <xf numFmtId="0" fontId="6" fillId="26" borderId="16" applyNumberFormat="0" applyFont="0" applyAlignment="0" applyProtection="0"/>
    <xf numFmtId="1" fontId="6" fillId="0" borderId="2">
      <alignment horizontal="center"/>
    </xf>
    <xf numFmtId="0" fontId="29" fillId="21" borderId="17" applyNumberFormat="0" applyAlignment="0" applyProtection="0"/>
    <xf numFmtId="0" fontId="29" fillId="21" borderId="17" applyNumberFormat="0" applyAlignment="0" applyProtection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">
      <alignment horizontal="center"/>
    </xf>
    <xf numFmtId="3" fontId="30" fillId="0" borderId="0" applyFont="0" applyFill="0" applyBorder="0" applyAlignment="0" applyProtection="0"/>
    <xf numFmtId="0" fontId="30" fillId="27" borderId="0" applyNumberFormat="0" applyFont="0" applyBorder="0" applyAlignment="0" applyProtection="0"/>
    <xf numFmtId="37" fontId="7" fillId="23" borderId="0" applyFill="0">
      <alignment horizontal="right"/>
    </xf>
    <xf numFmtId="0" fontId="48" fillId="0" borderId="0">
      <alignment horizontal="left"/>
    </xf>
    <xf numFmtId="0" fontId="7" fillId="0" borderId="0" applyFill="0">
      <alignment horizontal="left"/>
    </xf>
    <xf numFmtId="37" fontId="7" fillId="0" borderId="4" applyFill="0">
      <alignment horizontal="right"/>
    </xf>
    <xf numFmtId="0" fontId="9" fillId="0" borderId="2" applyNumberFormat="0" applyFont="0" applyBorder="0">
      <alignment horizontal="right"/>
    </xf>
    <xf numFmtId="0" fontId="67" fillId="0" borderId="0" applyFill="0"/>
    <xf numFmtId="0" fontId="7" fillId="0" borderId="0" applyFill="0">
      <alignment horizontal="left"/>
    </xf>
    <xf numFmtId="199" fontId="7" fillId="0" borderId="4" applyFill="0">
      <alignment horizontal="right"/>
    </xf>
    <xf numFmtId="0" fontId="6" fillId="0" borderId="0" applyNumberFormat="0" applyFont="0" applyBorder="0" applyAlignment="0"/>
    <xf numFmtId="0" fontId="45" fillId="0" borderId="0" applyFill="0">
      <alignment horizontal="left" indent="1"/>
    </xf>
    <xf numFmtId="0" fontId="48" fillId="0" borderId="0" applyFill="0">
      <alignment horizontal="left"/>
    </xf>
    <xf numFmtId="37" fontId="7" fillId="0" borderId="0" applyFill="0">
      <alignment horizontal="right"/>
    </xf>
    <xf numFmtId="0" fontId="6" fillId="0" borderId="0" applyNumberFormat="0" applyFont="0" applyFill="0" applyBorder="0" applyAlignment="0"/>
    <xf numFmtId="0" fontId="45" fillId="0" borderId="0" applyFill="0">
      <alignment horizontal="left" indent="2"/>
    </xf>
    <xf numFmtId="0" fontId="7" fillId="0" borderId="0" applyFill="0">
      <alignment horizontal="left"/>
    </xf>
    <xf numFmtId="37" fontId="7" fillId="0" borderId="0" applyFill="0">
      <alignment horizontal="right"/>
    </xf>
    <xf numFmtId="0" fontId="6" fillId="0" borderId="0" applyNumberFormat="0" applyFont="0" applyBorder="0" applyAlignment="0"/>
    <xf numFmtId="0" fontId="68" fillId="0" borderId="0">
      <alignment horizontal="left" indent="3"/>
    </xf>
    <xf numFmtId="0" fontId="7" fillId="0" borderId="0" applyFill="0">
      <alignment horizontal="left"/>
    </xf>
    <xf numFmtId="37" fontId="7" fillId="0" borderId="0" applyFill="0">
      <alignment horizontal="right"/>
    </xf>
    <xf numFmtId="0" fontId="6" fillId="0" borderId="0" applyNumberFormat="0" applyFont="0" applyBorder="0" applyAlignment="0"/>
    <xf numFmtId="0" fontId="47" fillId="0" borderId="0">
      <alignment horizontal="left" indent="4"/>
    </xf>
    <xf numFmtId="0" fontId="7" fillId="0" borderId="0" applyFill="0">
      <alignment horizontal="left"/>
    </xf>
    <xf numFmtId="37" fontId="48" fillId="0" borderId="0" applyFill="0">
      <alignment horizontal="right"/>
    </xf>
    <xf numFmtId="0" fontId="6" fillId="0" borderId="0" applyNumberFormat="0" applyFont="0" applyBorder="0" applyAlignment="0"/>
    <xf numFmtId="0" fontId="49" fillId="0" borderId="0">
      <alignment horizontal="left" indent="5"/>
    </xf>
    <xf numFmtId="0" fontId="48" fillId="0" borderId="0" applyFill="0">
      <alignment horizontal="left"/>
    </xf>
    <xf numFmtId="37" fontId="48" fillId="0" borderId="0" applyFill="0">
      <alignment horizontal="right"/>
    </xf>
    <xf numFmtId="0" fontId="6" fillId="0" borderId="0" applyNumberFormat="0" applyFont="0" applyFill="0" applyBorder="0" applyAlignment="0"/>
    <xf numFmtId="0" fontId="51" fillId="0" borderId="0" applyFill="0">
      <alignment horizontal="left" indent="6"/>
    </xf>
    <xf numFmtId="0" fontId="48" fillId="0" borderId="0" applyFill="0">
      <alignment horizontal="left"/>
    </xf>
    <xf numFmtId="38" fontId="8" fillId="28" borderId="4">
      <alignment horizontal="right"/>
    </xf>
    <xf numFmtId="38" fontId="6" fillId="29" borderId="0" applyNumberFormat="0" applyFont="0" applyBorder="0" applyAlignment="0" applyProtection="0"/>
    <xf numFmtId="0" fontId="69" fillId="0" borderId="0" applyNumberFormat="0" applyAlignment="0">
      <alignment horizontal="centerContinuous"/>
    </xf>
    <xf numFmtId="0" fontId="41" fillId="0" borderId="4" applyNumberFormat="0" applyFill="0" applyAlignment="0" applyProtection="0"/>
    <xf numFmtId="37" fontId="70" fillId="0" borderId="0" applyNumberFormat="0">
      <alignment horizontal="left"/>
    </xf>
    <xf numFmtId="200" fontId="6" fillId="0" borderId="2">
      <alignment horizontal="center" wrapText="1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6" fillId="0" borderId="0" applyNumberFormat="0" applyFill="0" applyBorder="0" applyProtection="0">
      <alignment horizontal="right" wrapText="1"/>
    </xf>
    <xf numFmtId="181" fontId="6" fillId="0" borderId="0" applyFill="0" applyBorder="0" applyAlignment="0" applyProtection="0">
      <alignment wrapText="1"/>
    </xf>
    <xf numFmtId="37" fontId="71" fillId="0" borderId="0" applyNumberFormat="0">
      <alignment horizontal="left"/>
    </xf>
    <xf numFmtId="37" fontId="72" fillId="0" borderId="0" applyNumberFormat="0">
      <alignment horizontal="left"/>
    </xf>
    <xf numFmtId="37" fontId="73" fillId="0" borderId="0" applyNumberFormat="0">
      <alignment horizontal="left"/>
    </xf>
    <xf numFmtId="194" fontId="74" fillId="0" borderId="0"/>
    <xf numFmtId="40" fontId="7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37" fontId="7" fillId="28" borderId="0" applyNumberFormat="0" applyBorder="0" applyAlignment="0" applyProtection="0"/>
    <xf numFmtId="37" fontId="7" fillId="0" borderId="0"/>
    <xf numFmtId="3" fontId="76" fillId="0" borderId="14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/>
  </cellStyleXfs>
  <cellXfs count="301">
    <xf numFmtId="172" fontId="0" fillId="0" borderId="0" xfId="0"/>
    <xf numFmtId="3" fontId="3" fillId="0" borderId="0" xfId="0" applyNumberFormat="1" applyFont="1"/>
    <xf numFmtId="0" fontId="3" fillId="0" borderId="0" xfId="0" applyNumberFormat="1" applyFont="1" applyProtection="1">
      <protection locked="0"/>
    </xf>
    <xf numFmtId="172" fontId="3" fillId="0" borderId="0" xfId="0" applyFont="1"/>
    <xf numFmtId="3" fontId="3" fillId="0" borderId="3" xfId="0" applyNumberFormat="1" applyFont="1" applyBorder="1"/>
    <xf numFmtId="0" fontId="6" fillId="0" borderId="0" xfId="165" applyAlignment="1">
      <alignment horizontal="center"/>
    </xf>
    <xf numFmtId="0" fontId="6" fillId="0" borderId="0" xfId="165"/>
    <xf numFmtId="0" fontId="9" fillId="0" borderId="0" xfId="165" applyFont="1"/>
    <xf numFmtId="0" fontId="6" fillId="0" borderId="3" xfId="165" applyBorder="1" applyAlignment="1">
      <alignment horizontal="center"/>
    </xf>
    <xf numFmtId="0" fontId="6" fillId="0" borderId="3" xfId="165" applyBorder="1"/>
    <xf numFmtId="0" fontId="6" fillId="0" borderId="3" xfId="165" applyBorder="1" applyAlignment="1">
      <alignment horizontal="center" wrapText="1"/>
    </xf>
    <xf numFmtId="0" fontId="6" fillId="0" borderId="0" xfId="165" applyAlignment="1">
      <alignment horizontal="center" wrapText="1"/>
    </xf>
    <xf numFmtId="3" fontId="6" fillId="0" borderId="0" xfId="165" applyNumberFormat="1"/>
    <xf numFmtId="9" fontId="6" fillId="0" borderId="0" xfId="173"/>
    <xf numFmtId="41" fontId="6" fillId="0" borderId="0" xfId="165" applyNumberFormat="1"/>
    <xf numFmtId="174" fontId="6" fillId="0" borderId="0" xfId="165" applyNumberFormat="1"/>
    <xf numFmtId="43" fontId="6" fillId="0" borderId="0" xfId="165" applyNumberFormat="1"/>
    <xf numFmtId="173" fontId="6" fillId="0" borderId="0" xfId="165" applyNumberFormat="1"/>
    <xf numFmtId="174" fontId="6" fillId="0" borderId="3" xfId="165" applyNumberFormat="1" applyBorder="1"/>
    <xf numFmtId="0" fontId="6" fillId="0" borderId="0" xfId="165" quotePrefix="1"/>
    <xf numFmtId="44" fontId="6" fillId="0" borderId="0" xfId="111"/>
    <xf numFmtId="0" fontId="6" fillId="0" borderId="0" xfId="166"/>
    <xf numFmtId="0" fontId="6" fillId="0" borderId="0" xfId="166" applyAlignment="1">
      <alignment horizontal="center"/>
    </xf>
    <xf numFmtId="0" fontId="9" fillId="0" borderId="0" xfId="166" applyFont="1"/>
    <xf numFmtId="44" fontId="6" fillId="0" borderId="0" xfId="166" applyNumberFormat="1"/>
    <xf numFmtId="0" fontId="9" fillId="0" borderId="0" xfId="165" applyFont="1" applyAlignment="1">
      <alignment horizontal="right"/>
    </xf>
    <xf numFmtId="0" fontId="9" fillId="0" borderId="0" xfId="165" applyFont="1" applyAlignment="1">
      <alignment horizontal="center"/>
    </xf>
    <xf numFmtId="173" fontId="6" fillId="0" borderId="0" xfId="105" applyNumberFormat="1" applyFont="1" applyFill="1"/>
    <xf numFmtId="0" fontId="6" fillId="0" borderId="19" xfId="163" applyBorder="1" applyAlignment="1">
      <alignment horizontal="center"/>
    </xf>
    <xf numFmtId="0" fontId="6" fillId="0" borderId="20" xfId="163" applyBorder="1" applyAlignment="1">
      <alignment horizontal="center"/>
    </xf>
    <xf numFmtId="0" fontId="6" fillId="0" borderId="0" xfId="163"/>
    <xf numFmtId="0" fontId="6" fillId="0" borderId="21" xfId="163" applyBorder="1" applyAlignment="1">
      <alignment horizontal="center"/>
    </xf>
    <xf numFmtId="0" fontId="6" fillId="0" borderId="0" xfId="163" applyAlignment="1">
      <alignment horizontal="center"/>
    </xf>
    <xf numFmtId="0" fontId="6" fillId="0" borderId="22" xfId="163" applyBorder="1" applyAlignment="1">
      <alignment horizontal="center"/>
    </xf>
    <xf numFmtId="0" fontId="6" fillId="0" borderId="3" xfId="163" applyBorder="1" applyAlignment="1">
      <alignment horizontal="center"/>
    </xf>
    <xf numFmtId="0" fontId="6" fillId="0" borderId="21" xfId="163" applyBorder="1"/>
    <xf numFmtId="0" fontId="6" fillId="0" borderId="9" xfId="163" applyBorder="1"/>
    <xf numFmtId="10" fontId="6" fillId="0" borderId="0" xfId="163" applyNumberFormat="1"/>
    <xf numFmtId="10" fontId="6" fillId="0" borderId="0" xfId="163" applyNumberFormat="1" applyAlignment="1">
      <alignment horizontal="center"/>
    </xf>
    <xf numFmtId="0" fontId="6" fillId="0" borderId="23" xfId="163" applyBorder="1"/>
    <xf numFmtId="0" fontId="6" fillId="0" borderId="0" xfId="163" applyAlignment="1">
      <alignment horizontal="left"/>
    </xf>
    <xf numFmtId="44" fontId="6" fillId="0" borderId="0" xfId="165" applyNumberFormat="1"/>
    <xf numFmtId="178" fontId="6" fillId="0" borderId="0" xfId="111" applyNumberFormat="1"/>
    <xf numFmtId="179" fontId="6" fillId="0" borderId="0" xfId="111" applyNumberFormat="1"/>
    <xf numFmtId="0" fontId="3" fillId="0" borderId="0" xfId="0" applyNumberFormat="1" applyFont="1" applyAlignment="1" applyProtection="1">
      <alignment horizontal="center"/>
      <protection locked="0"/>
    </xf>
    <xf numFmtId="0" fontId="6" fillId="0" borderId="24" xfId="163" applyBorder="1" applyAlignment="1">
      <alignment horizontal="center"/>
    </xf>
    <xf numFmtId="0" fontId="6" fillId="0" borderId="25" xfId="163" applyBorder="1" applyAlignment="1">
      <alignment horizontal="center"/>
    </xf>
    <xf numFmtId="0" fontId="6" fillId="0" borderId="26" xfId="163" applyBorder="1" applyAlignment="1">
      <alignment horizontal="center"/>
    </xf>
    <xf numFmtId="0" fontId="6" fillId="0" borderId="25" xfId="163" applyBorder="1"/>
    <xf numFmtId="1" fontId="6" fillId="0" borderId="27" xfId="163" applyNumberFormat="1" applyBorder="1" applyAlignment="1">
      <alignment horizontal="center"/>
    </xf>
    <xf numFmtId="173" fontId="3" fillId="0" borderId="0" xfId="105" applyNumberFormat="1" applyFont="1" applyFill="1" applyAlignment="1"/>
    <xf numFmtId="0" fontId="6" fillId="0" borderId="4" xfId="166" applyBorder="1" applyAlignment="1">
      <alignment horizontal="center"/>
    </xf>
    <xf numFmtId="0" fontId="6" fillId="0" borderId="25" xfId="163" quotePrefix="1" applyBorder="1" applyAlignment="1">
      <alignment horizontal="left"/>
    </xf>
    <xf numFmtId="0" fontId="6" fillId="0" borderId="20" xfId="163" applyBorder="1"/>
    <xf numFmtId="0" fontId="6" fillId="0" borderId="4" xfId="166" applyBorder="1"/>
    <xf numFmtId="44" fontId="6" fillId="0" borderId="4" xfId="166" applyNumberFormat="1" applyBorder="1" applyAlignment="1">
      <alignment horizontal="center"/>
    </xf>
    <xf numFmtId="0" fontId="6" fillId="0" borderId="0" xfId="166" applyAlignment="1">
      <alignment horizontal="right"/>
    </xf>
    <xf numFmtId="172" fontId="11" fillId="0" borderId="0" xfId="0" applyFont="1"/>
    <xf numFmtId="0" fontId="11" fillId="0" borderId="0" xfId="0" applyNumberFormat="1" applyFont="1" applyAlignment="1">
      <alignment horizontal="center"/>
    </xf>
    <xf numFmtId="172" fontId="11" fillId="0" borderId="0" xfId="0" applyFont="1" applyAlignment="1">
      <alignment horizontal="center"/>
    </xf>
    <xf numFmtId="172" fontId="11" fillId="0" borderId="4" xfId="0" applyFont="1" applyBorder="1" applyAlignment="1">
      <alignment horizontal="center"/>
    </xf>
    <xf numFmtId="173" fontId="3" fillId="0" borderId="0" xfId="105" applyNumberFormat="1" applyFont="1" applyFill="1" applyBorder="1" applyAlignment="1"/>
    <xf numFmtId="172" fontId="5" fillId="0" borderId="0" xfId="0" applyFont="1"/>
    <xf numFmtId="173" fontId="3" fillId="0" borderId="6" xfId="105" applyNumberFormat="1" applyFont="1" applyFill="1" applyBorder="1" applyAlignment="1"/>
    <xf numFmtId="44" fontId="6" fillId="0" borderId="3" xfId="165" applyNumberFormat="1" applyBorder="1"/>
    <xf numFmtId="170" fontId="6" fillId="0" borderId="3" xfId="173" applyNumberFormat="1" applyFont="1" applyBorder="1" applyAlignment="1">
      <alignment horizontal="right"/>
    </xf>
    <xf numFmtId="174" fontId="6" fillId="0" borderId="3" xfId="111" applyNumberFormat="1" applyFont="1" applyBorder="1"/>
    <xf numFmtId="175" fontId="10" fillId="0" borderId="0" xfId="165" applyNumberFormat="1" applyFont="1"/>
    <xf numFmtId="43" fontId="6" fillId="0" borderId="0" xfId="105"/>
    <xf numFmtId="0" fontId="6" fillId="30" borderId="24" xfId="163" applyFill="1" applyBorder="1" applyAlignment="1">
      <alignment horizontal="center"/>
    </xf>
    <xf numFmtId="0" fontId="6" fillId="30" borderId="25" xfId="163" applyFill="1" applyBorder="1" applyAlignment="1">
      <alignment horizontal="center"/>
    </xf>
    <xf numFmtId="0" fontId="6" fillId="30" borderId="26" xfId="163" applyFill="1" applyBorder="1" applyAlignment="1">
      <alignment horizontal="center"/>
    </xf>
    <xf numFmtId="0" fontId="6" fillId="0" borderId="28" xfId="165" applyBorder="1"/>
    <xf numFmtId="0" fontId="6" fillId="0" borderId="6" xfId="165" applyBorder="1"/>
    <xf numFmtId="0" fontId="6" fillId="0" borderId="29" xfId="165" applyBorder="1"/>
    <xf numFmtId="0" fontId="6" fillId="0" borderId="30" xfId="165" applyBorder="1"/>
    <xf numFmtId="0" fontId="6" fillId="0" borderId="31" xfId="165" applyBorder="1"/>
    <xf numFmtId="0" fontId="6" fillId="0" borderId="32" xfId="165" applyBorder="1"/>
    <xf numFmtId="0" fontId="6" fillId="0" borderId="4" xfId="165" applyBorder="1"/>
    <xf numFmtId="0" fontId="6" fillId="0" borderId="33" xfId="165" applyBorder="1"/>
    <xf numFmtId="170" fontId="6" fillId="0" borderId="0" xfId="173" applyNumberFormat="1" applyFont="1" applyAlignment="1">
      <alignment horizontal="right"/>
    </xf>
    <xf numFmtId="174" fontId="6" fillId="0" borderId="0" xfId="111" applyNumberFormat="1" applyFont="1"/>
    <xf numFmtId="173" fontId="6" fillId="0" borderId="3" xfId="165" applyNumberFormat="1" applyBorder="1"/>
    <xf numFmtId="43" fontId="6" fillId="0" borderId="3" xfId="165" applyNumberFormat="1" applyBorder="1"/>
    <xf numFmtId="0" fontId="6" fillId="30" borderId="20" xfId="163" applyFill="1" applyBorder="1" applyAlignment="1">
      <alignment horizontal="center"/>
    </xf>
    <xf numFmtId="0" fontId="6" fillId="30" borderId="0" xfId="163" applyFill="1" applyAlignment="1">
      <alignment horizontal="center"/>
    </xf>
    <xf numFmtId="1" fontId="6" fillId="30" borderId="27" xfId="163" applyNumberFormat="1" applyFill="1" applyBorder="1" applyAlignment="1">
      <alignment horizontal="center"/>
    </xf>
    <xf numFmtId="0" fontId="6" fillId="30" borderId="0" xfId="163" applyFill="1"/>
    <xf numFmtId="0" fontId="6" fillId="30" borderId="3" xfId="163" applyFill="1" applyBorder="1" applyAlignment="1">
      <alignment horizontal="center"/>
    </xf>
    <xf numFmtId="10" fontId="6" fillId="0" borderId="0" xfId="166" applyNumberFormat="1"/>
    <xf numFmtId="1" fontId="6" fillId="0" borderId="0" xfId="163" applyNumberFormat="1" applyAlignment="1">
      <alignment horizontal="center"/>
    </xf>
    <xf numFmtId="173" fontId="3" fillId="0" borderId="0" xfId="105" applyNumberFormat="1" applyFont="1" applyFill="1" applyAlignment="1">
      <alignment horizontal="center"/>
    </xf>
    <xf numFmtId="173" fontId="3" fillId="0" borderId="4" xfId="105" applyNumberFormat="1" applyFont="1" applyFill="1" applyBorder="1" applyAlignment="1"/>
    <xf numFmtId="0" fontId="3" fillId="0" borderId="0" xfId="0" applyNumberFormat="1" applyFont="1"/>
    <xf numFmtId="1" fontId="6" fillId="0" borderId="24" xfId="163" applyNumberFormat="1" applyBorder="1" applyAlignment="1">
      <alignment horizontal="center"/>
    </xf>
    <xf numFmtId="1" fontId="6" fillId="0" borderId="25" xfId="163" applyNumberFormat="1" applyBorder="1" applyAlignment="1">
      <alignment horizontal="center"/>
    </xf>
    <xf numFmtId="44" fontId="6" fillId="0" borderId="0" xfId="166" applyNumberFormat="1" applyAlignment="1">
      <alignment horizontal="center"/>
    </xf>
    <xf numFmtId="10" fontId="6" fillId="0" borderId="0" xfId="173" applyNumberFormat="1" applyFill="1"/>
    <xf numFmtId="3" fontId="3" fillId="0" borderId="0" xfId="0" applyNumberFormat="1" applyFont="1" applyAlignment="1">
      <alignment horizontal="right"/>
    </xf>
    <xf numFmtId="3" fontId="3" fillId="0" borderId="6" xfId="0" applyNumberFormat="1" applyFont="1" applyBorder="1"/>
    <xf numFmtId="0" fontId="6" fillId="30" borderId="25" xfId="163" applyFill="1" applyBorder="1"/>
    <xf numFmtId="1" fontId="6" fillId="30" borderId="23" xfId="163" applyNumberFormat="1" applyFill="1" applyBorder="1" applyAlignment="1">
      <alignment horizontal="center"/>
    </xf>
    <xf numFmtId="1" fontId="6" fillId="30" borderId="39" xfId="163" applyNumberFormat="1" applyFill="1" applyBorder="1" applyAlignment="1">
      <alignment horizontal="center"/>
    </xf>
    <xf numFmtId="1" fontId="6" fillId="30" borderId="9" xfId="163" applyNumberFormat="1" applyFill="1" applyBorder="1" applyAlignment="1">
      <alignment horizontal="center"/>
    </xf>
    <xf numFmtId="1" fontId="6" fillId="0" borderId="23" xfId="163" applyNumberFormat="1" applyBorder="1" applyAlignment="1">
      <alignment horizontal="center"/>
    </xf>
    <xf numFmtId="172" fontId="0" fillId="0" borderId="0" xfId="0" applyAlignment="1">
      <alignment horizontal="right"/>
    </xf>
    <xf numFmtId="172" fontId="3" fillId="0" borderId="0" xfId="0" applyFont="1" applyAlignment="1">
      <alignment horizontal="right"/>
    </xf>
    <xf numFmtId="172" fontId="2" fillId="0" borderId="0" xfId="0" applyFont="1"/>
    <xf numFmtId="0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172" fontId="5" fillId="0" borderId="0" xfId="0" applyFont="1" applyAlignment="1">
      <alignment horizontal="center"/>
    </xf>
    <xf numFmtId="3" fontId="5" fillId="0" borderId="0" xfId="0" applyNumberFormat="1" applyFont="1"/>
    <xf numFmtId="0" fontId="5" fillId="0" borderId="0" xfId="0" applyNumberFormat="1" applyFont="1" applyAlignment="1" applyProtection="1">
      <alignment horizontal="left"/>
      <protection locked="0"/>
    </xf>
    <xf numFmtId="172" fontId="3" fillId="0" borderId="0" xfId="0" applyFont="1" applyAlignment="1">
      <alignment horizontal="left"/>
    </xf>
    <xf numFmtId="0" fontId="3" fillId="0" borderId="3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/>
    <xf numFmtId="165" fontId="3" fillId="0" borderId="0" xfId="0" applyNumberFormat="1" applyFont="1"/>
    <xf numFmtId="182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3" fontId="3" fillId="0" borderId="4" xfId="0" applyNumberFormat="1" applyFont="1" applyBorder="1"/>
    <xf numFmtId="172" fontId="3" fillId="0" borderId="3" xfId="0" applyFont="1" applyBorder="1"/>
    <xf numFmtId="201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5" fillId="0" borderId="0" xfId="0" applyNumberFormat="1" applyFont="1" applyAlignment="1">
      <alignment horizontal="center"/>
    </xf>
    <xf numFmtId="173" fontId="0" fillId="0" borderId="0" xfId="105" applyNumberFormat="1" applyFont="1" applyFill="1" applyAlignment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8" fontId="3" fillId="0" borderId="0" xfId="0" applyNumberFormat="1" applyFont="1" applyAlignment="1">
      <alignment horizontal="right"/>
    </xf>
    <xf numFmtId="172" fontId="3" fillId="0" borderId="0" xfId="0" quotePrefix="1" applyFont="1"/>
    <xf numFmtId="167" fontId="3" fillId="0" borderId="0" xfId="0" applyNumberFormat="1" applyFont="1"/>
    <xf numFmtId="0" fontId="3" fillId="0" borderId="3" xfId="0" applyNumberFormat="1" applyFont="1" applyBorder="1"/>
    <xf numFmtId="3" fontId="3" fillId="0" borderId="0" xfId="0" applyNumberFormat="1" applyFont="1" applyAlignment="1">
      <alignment horizontal="center"/>
    </xf>
    <xf numFmtId="182" fontId="3" fillId="0" borderId="0" xfId="0" applyNumberFormat="1" applyFont="1" applyAlignment="1">
      <alignment horizontal="right"/>
    </xf>
    <xf numFmtId="0" fontId="3" fillId="0" borderId="6" xfId="0" applyNumberFormat="1" applyFont="1" applyBorder="1"/>
    <xf numFmtId="3" fontId="3" fillId="0" borderId="3" xfId="0" applyNumberFormat="1" applyFont="1" applyBorder="1" applyAlignment="1">
      <alignment horizontal="center"/>
    </xf>
    <xf numFmtId="6" fontId="3" fillId="0" borderId="0" xfId="167" applyNumberFormat="1" applyFont="1"/>
    <xf numFmtId="3" fontId="3" fillId="0" borderId="4" xfId="0" applyNumberFormat="1" applyFont="1" applyBorder="1" applyAlignment="1">
      <alignment horizontal="center"/>
    </xf>
    <xf numFmtId="10" fontId="3" fillId="0" borderId="0" xfId="173" applyNumberFormat="1" applyFont="1" applyFill="1"/>
    <xf numFmtId="0" fontId="35" fillId="0" borderId="0" xfId="0" applyNumberFormat="1" applyFont="1"/>
    <xf numFmtId="0" fontId="3" fillId="0" borderId="4" xfId="0" applyNumberFormat="1" applyFont="1" applyBorder="1"/>
    <xf numFmtId="172" fontId="35" fillId="0" borderId="0" xfId="0" applyFont="1"/>
    <xf numFmtId="49" fontId="3" fillId="0" borderId="3" xfId="0" applyNumberFormat="1" applyFont="1" applyBorder="1" applyAlignment="1">
      <alignment horizontal="center"/>
    </xf>
    <xf numFmtId="3" fontId="3" fillId="0" borderId="0" xfId="0" quotePrefix="1" applyNumberFormat="1" applyFont="1"/>
    <xf numFmtId="172" fontId="3" fillId="0" borderId="0" xfId="0" applyFont="1" applyProtection="1">
      <protection locked="0"/>
    </xf>
    <xf numFmtId="169" fontId="3" fillId="0" borderId="0" xfId="0" applyNumberFormat="1" applyFont="1" applyProtection="1">
      <protection locked="0"/>
    </xf>
    <xf numFmtId="172" fontId="3" fillId="0" borderId="0" xfId="0" applyFont="1" applyProtection="1"/>
    <xf numFmtId="10" fontId="3" fillId="0" borderId="0" xfId="0" applyNumberFormat="1" applyFont="1" applyProtection="1">
      <protection locked="0"/>
    </xf>
    <xf numFmtId="172" fontId="3" fillId="0" borderId="0" xfId="0" applyFont="1" applyAlignment="1">
      <alignment horizontal="center"/>
    </xf>
    <xf numFmtId="172" fontId="0" fillId="0" borderId="0" xfId="0" applyAlignment="1">
      <alignment horizontal="center"/>
    </xf>
    <xf numFmtId="173" fontId="3" fillId="0" borderId="3" xfId="105" applyNumberFormat="1" applyFont="1" applyFill="1" applyBorder="1" applyAlignment="1"/>
    <xf numFmtId="3" fontId="3" fillId="0" borderId="37" xfId="0" applyNumberFormat="1" applyFont="1" applyBorder="1"/>
    <xf numFmtId="171" fontId="3" fillId="0" borderId="0" xfId="0" applyNumberFormat="1" applyFont="1" applyAlignment="1">
      <alignment horizontal="left"/>
    </xf>
    <xf numFmtId="0" fontId="3" fillId="0" borderId="0" xfId="105" applyNumberFormat="1" applyFont="1" applyFill="1" applyAlignment="1"/>
    <xf numFmtId="10" fontId="3" fillId="0" borderId="0" xfId="0" applyNumberFormat="1" applyFont="1" applyAlignment="1">
      <alignment horizontal="right"/>
    </xf>
    <xf numFmtId="164" fontId="3" fillId="0" borderId="0" xfId="0" applyNumberFormat="1" applyFont="1" applyAlignment="1" applyProtection="1">
      <alignment horizontal="left"/>
      <protection locked="0"/>
    </xf>
    <xf numFmtId="3" fontId="3" fillId="0" borderId="38" xfId="0" applyNumberFormat="1" applyFont="1" applyBorder="1"/>
    <xf numFmtId="3" fontId="3" fillId="0" borderId="10" xfId="0" applyNumberFormat="1" applyFont="1" applyBorder="1"/>
    <xf numFmtId="0" fontId="3" fillId="0" borderId="3" xfId="0" applyNumberFormat="1" applyFont="1" applyBorder="1" applyProtection="1">
      <protection locked="0"/>
    </xf>
    <xf numFmtId="172" fontId="3" fillId="0" borderId="6" xfId="0" applyFont="1" applyBorder="1"/>
    <xf numFmtId="0" fontId="3" fillId="0" borderId="6" xfId="0" applyNumberFormat="1" applyFont="1" applyBorder="1" applyProtection="1">
      <protection locked="0"/>
    </xf>
    <xf numFmtId="4" fontId="3" fillId="0" borderId="0" xfId="0" applyNumberFormat="1" applyFont="1"/>
    <xf numFmtId="10" fontId="3" fillId="0" borderId="0" xfId="173" applyNumberFormat="1" applyFont="1" applyFill="1" applyAlignment="1"/>
    <xf numFmtId="9" fontId="3" fillId="0" borderId="0" xfId="173" applyFont="1" applyFill="1" applyAlignment="1"/>
    <xf numFmtId="10" fontId="3" fillId="0" borderId="0" xfId="173" applyNumberFormat="1" applyFont="1" applyFill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9" fontId="3" fillId="0" borderId="6" xfId="173" applyFont="1" applyFill="1" applyBorder="1" applyAlignment="1"/>
    <xf numFmtId="0" fontId="3" fillId="0" borderId="0" xfId="0" quotePrefix="1" applyNumberFormat="1" applyFont="1"/>
    <xf numFmtId="10" fontId="3" fillId="0" borderId="0" xfId="0" applyNumberFormat="1" applyFont="1"/>
    <xf numFmtId="168" fontId="3" fillId="0" borderId="0" xfId="0" applyNumberFormat="1" applyFont="1"/>
    <xf numFmtId="10" fontId="3" fillId="0" borderId="3" xfId="173" applyNumberFormat="1" applyFont="1" applyFill="1" applyBorder="1" applyAlignment="1"/>
    <xf numFmtId="201" fontId="3" fillId="0" borderId="0" xfId="173" applyNumberFormat="1" applyFont="1" applyFill="1" applyAlignment="1">
      <alignment horizontal="right"/>
    </xf>
    <xf numFmtId="3" fontId="3" fillId="31" borderId="0" xfId="0" applyNumberFormat="1" applyFont="1" applyFill="1"/>
    <xf numFmtId="3" fontId="3" fillId="31" borderId="3" xfId="0" applyNumberFormat="1" applyFont="1" applyFill="1" applyBorder="1"/>
    <xf numFmtId="173" fontId="3" fillId="31" borderId="0" xfId="105" applyNumberFormat="1" applyFont="1" applyFill="1" applyAlignment="1"/>
    <xf numFmtId="173" fontId="3" fillId="31" borderId="3" xfId="105" applyNumberFormat="1" applyFont="1" applyFill="1" applyBorder="1" applyAlignment="1"/>
    <xf numFmtId="3" fontId="3" fillId="31" borderId="4" xfId="0" applyNumberFormat="1" applyFont="1" applyFill="1" applyBorder="1"/>
    <xf numFmtId="173" fontId="3" fillId="31" borderId="0" xfId="105" applyNumberFormat="1" applyFont="1" applyFill="1" applyBorder="1" applyAlignment="1"/>
    <xf numFmtId="10" fontId="3" fillId="31" borderId="0" xfId="173" applyNumberFormat="1" applyFont="1" applyFill="1" applyAlignment="1"/>
    <xf numFmtId="1" fontId="3" fillId="0" borderId="0" xfId="0" applyNumberFormat="1" applyFont="1"/>
    <xf numFmtId="173" fontId="3" fillId="31" borderId="4" xfId="105" applyNumberFormat="1" applyFont="1" applyFill="1" applyBorder="1" applyAlignment="1"/>
    <xf numFmtId="10" fontId="3" fillId="31" borderId="0" xfId="0" applyNumberFormat="1" applyFont="1" applyFill="1" applyProtection="1">
      <protection locked="0"/>
    </xf>
    <xf numFmtId="3" fontId="3" fillId="31" borderId="6" xfId="0" applyNumberFormat="1" applyFont="1" applyFill="1" applyBorder="1"/>
    <xf numFmtId="201" fontId="0" fillId="31" borderId="0" xfId="0" applyNumberFormat="1" applyFill="1" applyAlignment="1">
      <alignment horizontal="right"/>
    </xf>
    <xf numFmtId="0" fontId="3" fillId="31" borderId="0" xfId="0" applyNumberFormat="1" applyFont="1" applyFill="1"/>
    <xf numFmtId="0" fontId="81" fillId="0" borderId="0" xfId="166" applyFont="1"/>
    <xf numFmtId="172" fontId="82" fillId="0" borderId="0" xfId="0" applyFont="1"/>
    <xf numFmtId="0" fontId="83" fillId="0" borderId="0" xfId="163" applyFont="1"/>
    <xf numFmtId="1" fontId="6" fillId="0" borderId="0" xfId="163" applyNumberFormat="1"/>
    <xf numFmtId="1" fontId="6" fillId="0" borderId="0" xfId="163" applyNumberFormat="1" applyAlignment="1">
      <alignment horizontal="left"/>
    </xf>
    <xf numFmtId="0" fontId="83" fillId="0" borderId="0" xfId="165" applyFont="1"/>
    <xf numFmtId="172" fontId="1" fillId="0" borderId="0" xfId="0" applyFont="1" applyAlignment="1">
      <alignment horizontal="right"/>
    </xf>
    <xf numFmtId="172" fontId="1" fillId="0" borderId="0" xfId="0" applyFont="1"/>
    <xf numFmtId="172" fontId="15" fillId="0" borderId="0" xfId="0" applyFont="1"/>
    <xf numFmtId="172" fontId="80" fillId="0" borderId="0" xfId="0" applyFont="1"/>
    <xf numFmtId="43" fontId="0" fillId="0" borderId="0" xfId="105" applyFont="1" applyFill="1" applyAlignment="1"/>
    <xf numFmtId="3" fontId="3" fillId="0" borderId="0" xfId="0" applyNumberFormat="1" applyFont="1" applyAlignment="1">
      <alignment horizontal="fill"/>
    </xf>
    <xf numFmtId="3" fontId="80" fillId="0" borderId="0" xfId="0" applyNumberFormat="1" applyFont="1"/>
    <xf numFmtId="43" fontId="3" fillId="0" borderId="0" xfId="105" applyFont="1" applyFill="1" applyAlignment="1">
      <alignment horizontal="center"/>
    </xf>
    <xf numFmtId="0" fontId="3" fillId="0" borderId="0" xfId="0" applyNumberFormat="1" applyFont="1" applyAlignment="1">
      <alignment horizontal="fill"/>
    </xf>
    <xf numFmtId="3" fontId="36" fillId="0" borderId="0" xfId="0" applyNumberFormat="1" applyFont="1"/>
    <xf numFmtId="43" fontId="83" fillId="0" borderId="0" xfId="165" applyNumberFormat="1" applyFont="1"/>
    <xf numFmtId="0" fontId="3" fillId="0" borderId="0" xfId="166" applyFont="1" applyAlignment="1">
      <alignment horizontal="left"/>
    </xf>
    <xf numFmtId="42" fontId="6" fillId="0" borderId="0" xfId="165" applyNumberFormat="1"/>
    <xf numFmtId="42" fontId="6" fillId="0" borderId="3" xfId="165" applyNumberFormat="1" applyBorder="1"/>
    <xf numFmtId="183" fontId="3" fillId="0" borderId="0" xfId="0" applyNumberFormat="1" applyFont="1" applyAlignment="1">
      <alignment horizontal="center"/>
    </xf>
    <xf numFmtId="3" fontId="37" fillId="0" borderId="0" xfId="0" applyNumberFormat="1" applyFont="1"/>
    <xf numFmtId="0" fontId="84" fillId="0" borderId="0" xfId="0" applyNumberFormat="1" applyFont="1"/>
    <xf numFmtId="0" fontId="2" fillId="0" borderId="0" xfId="0" applyNumberFormat="1" applyFont="1"/>
    <xf numFmtId="0" fontId="0" fillId="0" borderId="0" xfId="0" applyNumberFormat="1"/>
    <xf numFmtId="0" fontId="6" fillId="0" borderId="34" xfId="163" applyBorder="1" applyAlignment="1">
      <alignment horizontal="center"/>
    </xf>
    <xf numFmtId="0" fontId="6" fillId="0" borderId="35" xfId="163" applyBorder="1" applyAlignment="1">
      <alignment horizontal="center"/>
    </xf>
    <xf numFmtId="1" fontId="6" fillId="0" borderId="21" xfId="163" applyNumberFormat="1" applyBorder="1" applyAlignment="1">
      <alignment horizontal="center"/>
    </xf>
    <xf numFmtId="0" fontId="85" fillId="0" borderId="0" xfId="166" applyFont="1"/>
    <xf numFmtId="44" fontId="85" fillId="0" borderId="0" xfId="166" applyNumberFormat="1" applyFont="1"/>
    <xf numFmtId="0" fontId="86" fillId="0" borderId="0" xfId="166" applyFont="1" applyAlignment="1">
      <alignment horizontal="center"/>
    </xf>
    <xf numFmtId="49" fontId="86" fillId="0" borderId="0" xfId="166" applyNumberFormat="1" applyFont="1" applyAlignment="1">
      <alignment horizontal="right"/>
    </xf>
    <xf numFmtId="0" fontId="85" fillId="0" borderId="0" xfId="166" applyFont="1" applyAlignment="1">
      <alignment horizontal="center"/>
    </xf>
    <xf numFmtId="0" fontId="85" fillId="0" borderId="4" xfId="166" applyFont="1" applyBorder="1" applyAlignment="1">
      <alignment horizontal="center"/>
    </xf>
    <xf numFmtId="173" fontId="86" fillId="0" borderId="0" xfId="105" applyNumberFormat="1" applyFont="1" applyAlignment="1">
      <alignment horizontal="center"/>
    </xf>
    <xf numFmtId="0" fontId="86" fillId="0" borderId="0" xfId="166" applyFont="1"/>
    <xf numFmtId="173" fontId="86" fillId="0" borderId="4" xfId="105" applyNumberFormat="1" applyFont="1" applyFill="1" applyBorder="1" applyAlignment="1">
      <alignment horizontal="center"/>
    </xf>
    <xf numFmtId="173" fontId="85" fillId="0" borderId="0" xfId="105" applyNumberFormat="1" applyFont="1"/>
    <xf numFmtId="0" fontId="87" fillId="0" borderId="0" xfId="166" applyFont="1"/>
    <xf numFmtId="173" fontId="85" fillId="0" borderId="0" xfId="105" applyNumberFormat="1" applyFont="1" applyFill="1"/>
    <xf numFmtId="173" fontId="85" fillId="0" borderId="6" xfId="105" applyNumberFormat="1" applyFont="1" applyFill="1" applyBorder="1"/>
    <xf numFmtId="10" fontId="85" fillId="0" borderId="0" xfId="173" applyNumberFormat="1" applyFont="1"/>
    <xf numFmtId="174" fontId="85" fillId="0" borderId="38" xfId="111" applyNumberFormat="1" applyFont="1" applyFill="1" applyBorder="1"/>
    <xf numFmtId="17" fontId="85" fillId="0" borderId="0" xfId="166" applyNumberFormat="1" applyFont="1" applyAlignment="1">
      <alignment horizontal="right"/>
    </xf>
    <xf numFmtId="17" fontId="85" fillId="0" borderId="0" xfId="166" applyNumberFormat="1" applyFont="1"/>
    <xf numFmtId="173" fontId="85" fillId="0" borderId="0" xfId="166" applyNumberFormat="1" applyFont="1"/>
    <xf numFmtId="173" fontId="85" fillId="0" borderId="6" xfId="166" applyNumberFormat="1" applyFont="1" applyBorder="1"/>
    <xf numFmtId="44" fontId="85" fillId="0" borderId="0" xfId="166" applyNumberFormat="1" applyFont="1" applyAlignment="1">
      <alignment horizontal="right"/>
    </xf>
    <xf numFmtId="173" fontId="85" fillId="0" borderId="37" xfId="166" applyNumberFormat="1" applyFont="1" applyBorder="1"/>
    <xf numFmtId="0" fontId="85" fillId="0" borderId="0" xfId="164" applyFont="1" applyAlignment="1">
      <alignment horizontal="center"/>
    </xf>
    <xf numFmtId="0" fontId="85" fillId="0" borderId="0" xfId="166" applyFont="1" applyAlignment="1">
      <alignment horizontal="center" wrapText="1"/>
    </xf>
    <xf numFmtId="177" fontId="85" fillId="0" borderId="0" xfId="105" applyNumberFormat="1" applyFont="1" applyFill="1" applyAlignment="1">
      <alignment horizontal="center"/>
    </xf>
    <xf numFmtId="0" fontId="88" fillId="0" borderId="0" xfId="166" applyFont="1"/>
    <xf numFmtId="0" fontId="85" fillId="0" borderId="6" xfId="166" applyFont="1" applyBorder="1"/>
    <xf numFmtId="0" fontId="9" fillId="0" borderId="0" xfId="165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86" fillId="0" borderId="0" xfId="166" applyFont="1" applyAlignment="1">
      <alignment horizontal="center" wrapText="1"/>
    </xf>
    <xf numFmtId="0" fontId="86" fillId="0" borderId="0" xfId="166" applyFont="1" applyAlignment="1">
      <alignment horizontal="center"/>
    </xf>
    <xf numFmtId="0" fontId="85" fillId="0" borderId="0" xfId="166" applyFont="1" applyAlignment="1">
      <alignment horizontal="left"/>
    </xf>
    <xf numFmtId="0" fontId="9" fillId="0" borderId="0" xfId="166" applyFont="1" applyAlignment="1">
      <alignment horizontal="center"/>
    </xf>
    <xf numFmtId="0" fontId="9" fillId="0" borderId="0" xfId="166" applyFont="1" applyAlignment="1">
      <alignment horizontal="center" wrapText="1"/>
    </xf>
    <xf numFmtId="0" fontId="5" fillId="0" borderId="40" xfId="165" applyFont="1" applyBorder="1" applyAlignment="1">
      <alignment horizontal="center"/>
    </xf>
    <xf numFmtId="0" fontId="5" fillId="0" borderId="10" xfId="165" applyFont="1" applyBorder="1" applyAlignment="1">
      <alignment horizontal="center"/>
    </xf>
    <xf numFmtId="0" fontId="5" fillId="0" borderId="41" xfId="165" applyFont="1" applyBorder="1" applyAlignment="1">
      <alignment horizontal="center"/>
    </xf>
    <xf numFmtId="0" fontId="5" fillId="30" borderId="40" xfId="165" applyFont="1" applyFill="1" applyBorder="1" applyAlignment="1">
      <alignment horizontal="center"/>
    </xf>
    <xf numFmtId="0" fontId="5" fillId="30" borderId="10" xfId="165" applyFont="1" applyFill="1" applyBorder="1" applyAlignment="1">
      <alignment horizontal="center"/>
    </xf>
    <xf numFmtId="0" fontId="5" fillId="30" borderId="41" xfId="165" applyFont="1" applyFill="1" applyBorder="1" applyAlignment="1">
      <alignment horizontal="center"/>
    </xf>
    <xf numFmtId="0" fontId="6" fillId="0" borderId="0" xfId="165" applyFill="1" applyAlignment="1">
      <alignment horizontal="left" wrapText="1"/>
    </xf>
    <xf numFmtId="174" fontId="6" fillId="0" borderId="0" xfId="111" applyNumberFormat="1" applyFont="1" applyFill="1"/>
    <xf numFmtId="0" fontId="6" fillId="0" borderId="0" xfId="165" applyFill="1"/>
    <xf numFmtId="0" fontId="9" fillId="0" borderId="0" xfId="165" applyFont="1" applyFill="1"/>
    <xf numFmtId="44" fontId="6" fillId="0" borderId="0" xfId="165" applyNumberFormat="1" applyFill="1"/>
    <xf numFmtId="9" fontId="6" fillId="0" borderId="0" xfId="173" applyFont="1" applyFill="1" applyAlignment="1">
      <alignment horizontal="right"/>
    </xf>
    <xf numFmtId="174" fontId="6" fillId="0" borderId="0" xfId="165" applyNumberFormat="1" applyFill="1"/>
    <xf numFmtId="176" fontId="6" fillId="0" borderId="0" xfId="165" applyNumberFormat="1" applyFill="1"/>
    <xf numFmtId="174" fontId="6" fillId="0" borderId="0" xfId="165" applyNumberFormat="1" applyFont="1"/>
    <xf numFmtId="0" fontId="6" fillId="0" borderId="3" xfId="165" applyFill="1" applyBorder="1" applyAlignment="1">
      <alignment horizontal="center" wrapText="1"/>
    </xf>
    <xf numFmtId="172" fontId="0" fillId="0" borderId="0" xfId="0" applyFont="1"/>
    <xf numFmtId="180" fontId="85" fillId="0" borderId="0" xfId="166" applyNumberFormat="1" applyFont="1" applyFill="1" applyAlignment="1">
      <alignment horizontal="left"/>
    </xf>
    <xf numFmtId="0" fontId="85" fillId="0" borderId="0" xfId="166" applyFont="1" applyFill="1"/>
    <xf numFmtId="10" fontId="85" fillId="0" borderId="0" xfId="173" applyNumberFormat="1" applyFont="1" applyFill="1"/>
    <xf numFmtId="173" fontId="85" fillId="0" borderId="0" xfId="105" applyNumberFormat="1" applyFont="1" applyFill="1" applyAlignment="1">
      <alignment horizontal="center"/>
    </xf>
    <xf numFmtId="44" fontId="85" fillId="0" borderId="0" xfId="166" applyNumberFormat="1" applyFont="1" applyFill="1"/>
    <xf numFmtId="44" fontId="85" fillId="0" borderId="0" xfId="166" applyNumberFormat="1" applyFont="1" applyFill="1" applyAlignment="1">
      <alignment horizontal="center"/>
    </xf>
    <xf numFmtId="0" fontId="85" fillId="0" borderId="0" xfId="166" applyFont="1" applyFill="1" applyAlignment="1">
      <alignment horizontal="center"/>
    </xf>
    <xf numFmtId="17" fontId="85" fillId="0" borderId="0" xfId="166" applyNumberFormat="1" applyFont="1" applyFill="1" applyAlignment="1">
      <alignment horizontal="right"/>
    </xf>
    <xf numFmtId="0" fontId="86" fillId="0" borderId="0" xfId="166" applyFont="1" applyFill="1"/>
    <xf numFmtId="17" fontId="85" fillId="0" borderId="0" xfId="166" applyNumberFormat="1" applyFont="1" applyFill="1" applyAlignment="1">
      <alignment horizontal="left"/>
    </xf>
    <xf numFmtId="0" fontId="6" fillId="0" borderId="25" xfId="163" quotePrefix="1" applyFill="1" applyBorder="1" applyAlignment="1">
      <alignment horizontal="left"/>
    </xf>
    <xf numFmtId="0" fontId="6" fillId="0" borderId="0" xfId="163" applyFill="1"/>
    <xf numFmtId="1" fontId="6" fillId="0" borderId="25" xfId="163" applyNumberFormat="1" applyFill="1" applyBorder="1" applyAlignment="1">
      <alignment horizontal="center"/>
    </xf>
    <xf numFmtId="0" fontId="6" fillId="0" borderId="35" xfId="163" applyFill="1" applyBorder="1" applyAlignment="1">
      <alignment horizontal="center"/>
    </xf>
    <xf numFmtId="0" fontId="6" fillId="0" borderId="0" xfId="163" applyFill="1" applyAlignment="1">
      <alignment horizontal="center"/>
    </xf>
    <xf numFmtId="0" fontId="6" fillId="0" borderId="21" xfId="163" applyFill="1" applyBorder="1" applyAlignment="1">
      <alignment horizontal="center"/>
    </xf>
    <xf numFmtId="0" fontId="6" fillId="0" borderId="26" xfId="163" quotePrefix="1" applyFill="1" applyBorder="1" applyAlignment="1">
      <alignment horizontal="left"/>
    </xf>
    <xf numFmtId="0" fontId="6" fillId="0" borderId="3" xfId="163" applyFill="1" applyBorder="1"/>
    <xf numFmtId="1" fontId="6" fillId="0" borderId="26" xfId="163" applyNumberFormat="1" applyFill="1" applyBorder="1" applyAlignment="1">
      <alignment horizontal="center"/>
    </xf>
    <xf numFmtId="0" fontId="6" fillId="0" borderId="36" xfId="163" applyFill="1" applyBorder="1" applyAlignment="1">
      <alignment horizontal="center"/>
    </xf>
    <xf numFmtId="0" fontId="6" fillId="0" borderId="22" xfId="163" applyFill="1" applyBorder="1" applyAlignment="1">
      <alignment horizontal="center"/>
    </xf>
    <xf numFmtId="0" fontId="6" fillId="0" borderId="20" xfId="163" applyFill="1" applyBorder="1"/>
    <xf numFmtId="1" fontId="6" fillId="0" borderId="24" xfId="163" applyNumberFormat="1" applyFill="1" applyBorder="1" applyAlignment="1">
      <alignment horizontal="center"/>
    </xf>
    <xf numFmtId="0" fontId="6" fillId="0" borderId="34" xfId="163" applyFill="1" applyBorder="1" applyAlignment="1">
      <alignment horizontal="center"/>
    </xf>
    <xf numFmtId="0" fontId="6" fillId="0" borderId="24" xfId="163" applyFill="1" applyBorder="1" applyAlignment="1">
      <alignment horizontal="center"/>
    </xf>
    <xf numFmtId="0" fontId="6" fillId="0" borderId="25" xfId="163" applyFill="1" applyBorder="1" applyAlignment="1">
      <alignment horizontal="center"/>
    </xf>
    <xf numFmtId="0" fontId="6" fillId="0" borderId="26" xfId="163" applyFill="1" applyBorder="1" applyAlignment="1">
      <alignment horizontal="center"/>
    </xf>
  </cellXfs>
  <cellStyles count="238">
    <cellStyle name="%" xfId="1" xr:uid="{00000000-0005-0000-0000-000000000000}"/>
    <cellStyle name="_033103 13 week CF1" xfId="2" xr:uid="{00000000-0005-0000-0000-000001000000}"/>
    <cellStyle name="_181000-189000" xfId="3" xr:uid="{00000000-0005-0000-0000-000002000000}"/>
    <cellStyle name="_2002  What- No Cap X Morgan" xfId="4" xr:uid="{00000000-0005-0000-0000-000003000000}"/>
    <cellStyle name="_Baseline Rollforward Support 050817" xfId="5" xr:uid="{00000000-0005-0000-0000-000004000000}"/>
    <cellStyle name="_EGTG_2003_YTD_Cash_Flow" xfId="6" xr:uid="{00000000-0005-0000-0000-000005000000}"/>
    <cellStyle name="_Everest_Board_Book_2003_FINAL" xfId="7" xr:uid="{00000000-0005-0000-0000-000006000000}"/>
    <cellStyle name="_Oct03_Everest_Board_Financial_Operating_Report" xfId="8" xr:uid="{00000000-0005-0000-0000-000007000000}"/>
    <cellStyle name="_SpreadSM" xfId="9" xr:uid="{00000000-0005-0000-0000-000008000000}"/>
    <cellStyle name="_Vacation Hours 7-14-08 (2)" xfId="10" xr:uid="{00000000-0005-0000-0000-000009000000}"/>
    <cellStyle name="=C:\WINNT35\SYSTEM32\COMMAND.COM" xfId="11" xr:uid="{00000000-0005-0000-0000-00000A000000}"/>
    <cellStyle name="20% - Accent1" xfId="12" builtinId="30" customBuiltin="1"/>
    <cellStyle name="20% - Accent1 2" xfId="13" xr:uid="{00000000-0005-0000-0000-00000C000000}"/>
    <cellStyle name="20% - Accent2" xfId="14" builtinId="34" customBuiltin="1"/>
    <cellStyle name="20% - Accent2 2" xfId="15" xr:uid="{00000000-0005-0000-0000-00000E000000}"/>
    <cellStyle name="20% - Accent3" xfId="16" builtinId="38" customBuiltin="1"/>
    <cellStyle name="20% - Accent3 2" xfId="17" xr:uid="{00000000-0005-0000-0000-000010000000}"/>
    <cellStyle name="20% - Accent4" xfId="18" builtinId="42" customBuiltin="1"/>
    <cellStyle name="20% - Accent4 2" xfId="19" xr:uid="{00000000-0005-0000-0000-000012000000}"/>
    <cellStyle name="20% - Accent5" xfId="20" builtinId="46" customBuiltin="1"/>
    <cellStyle name="20% - Accent5 2" xfId="21" xr:uid="{00000000-0005-0000-0000-000014000000}"/>
    <cellStyle name="20% - Accent6" xfId="22" builtinId="50" customBuiltin="1"/>
    <cellStyle name="20% - Accent6 2" xfId="23" xr:uid="{00000000-0005-0000-0000-000016000000}"/>
    <cellStyle name="40% - Accent1" xfId="24" builtinId="31" customBuiltin="1"/>
    <cellStyle name="40% - Accent1 2" xfId="25" xr:uid="{00000000-0005-0000-0000-000018000000}"/>
    <cellStyle name="40% - Accent2" xfId="26" builtinId="35" customBuiltin="1"/>
    <cellStyle name="40% - Accent2 2" xfId="27" xr:uid="{00000000-0005-0000-0000-00001A000000}"/>
    <cellStyle name="40% - Accent3" xfId="28" builtinId="39" customBuiltin="1"/>
    <cellStyle name="40% - Accent3 2" xfId="29" xr:uid="{00000000-0005-0000-0000-00001C000000}"/>
    <cellStyle name="40% - Accent4" xfId="30" builtinId="43" customBuiltin="1"/>
    <cellStyle name="40% - Accent4 2" xfId="31" xr:uid="{00000000-0005-0000-0000-00001E000000}"/>
    <cellStyle name="40% - Accent5" xfId="32" builtinId="47" customBuiltin="1"/>
    <cellStyle name="40% - Accent5 2" xfId="33" xr:uid="{00000000-0005-0000-0000-000020000000}"/>
    <cellStyle name="40% - Accent6" xfId="34" builtinId="51" customBuiltin="1"/>
    <cellStyle name="40% - Accent6 2" xfId="35" xr:uid="{00000000-0005-0000-0000-000022000000}"/>
    <cellStyle name="60% - Accent1" xfId="36" builtinId="32" customBuiltin="1"/>
    <cellStyle name="60% - Accent1 2" xfId="37" xr:uid="{00000000-0005-0000-0000-000024000000}"/>
    <cellStyle name="60% - Accent2" xfId="38" builtinId="36" customBuiltin="1"/>
    <cellStyle name="60% - Accent2 2" xfId="39" xr:uid="{00000000-0005-0000-0000-000026000000}"/>
    <cellStyle name="60% - Accent3" xfId="40" builtinId="40" customBuiltin="1"/>
    <cellStyle name="60% - Accent3 2" xfId="41" xr:uid="{00000000-0005-0000-0000-000028000000}"/>
    <cellStyle name="60% - Accent4" xfId="42" builtinId="44" customBuiltin="1"/>
    <cellStyle name="60% - Accent4 2" xfId="43" xr:uid="{00000000-0005-0000-0000-00002A000000}"/>
    <cellStyle name="60% - Accent5" xfId="44" builtinId="48" customBuiltin="1"/>
    <cellStyle name="60% - Accent5 2" xfId="45" xr:uid="{00000000-0005-0000-0000-00002C000000}"/>
    <cellStyle name="60% - Accent6" xfId="46" builtinId="52" customBuiltin="1"/>
    <cellStyle name="60% - Accent6 2" xfId="47" xr:uid="{00000000-0005-0000-0000-00002E000000}"/>
    <cellStyle name="Accent1" xfId="48" builtinId="29" customBuiltin="1"/>
    <cellStyle name="Accent1 2" xfId="49" xr:uid="{00000000-0005-0000-0000-000030000000}"/>
    <cellStyle name="Accent2" xfId="50" builtinId="33" customBuiltin="1"/>
    <cellStyle name="Accent2 2" xfId="51" xr:uid="{00000000-0005-0000-0000-000032000000}"/>
    <cellStyle name="Accent3" xfId="52" builtinId="37" customBuiltin="1"/>
    <cellStyle name="Accent3 2" xfId="53" xr:uid="{00000000-0005-0000-0000-000034000000}"/>
    <cellStyle name="Accent4" xfId="54" builtinId="41" customBuiltin="1"/>
    <cellStyle name="Accent4 2" xfId="55" xr:uid="{00000000-0005-0000-0000-000036000000}"/>
    <cellStyle name="Accent5" xfId="56" builtinId="45" customBuiltin="1"/>
    <cellStyle name="Accent5 2" xfId="57" xr:uid="{00000000-0005-0000-0000-000038000000}"/>
    <cellStyle name="Accent6" xfId="58" builtinId="49" customBuiltin="1"/>
    <cellStyle name="Accent6 2" xfId="59" xr:uid="{00000000-0005-0000-0000-00003A000000}"/>
    <cellStyle name="Accounting" xfId="60" xr:uid="{00000000-0005-0000-0000-00003B000000}"/>
    <cellStyle name="Actual Date" xfId="61" xr:uid="{00000000-0005-0000-0000-00003C000000}"/>
    <cellStyle name="ADDR" xfId="62" xr:uid="{00000000-0005-0000-0000-00003D000000}"/>
    <cellStyle name="Agara" xfId="63" xr:uid="{00000000-0005-0000-0000-00003E000000}"/>
    <cellStyle name="Bad" xfId="64" builtinId="27" customBuiltin="1"/>
    <cellStyle name="Bad 2" xfId="65" xr:uid="{00000000-0005-0000-0000-000040000000}"/>
    <cellStyle name="Body" xfId="66" xr:uid="{00000000-0005-0000-0000-000041000000}"/>
    <cellStyle name="Bottom bold border" xfId="67" xr:uid="{00000000-0005-0000-0000-000042000000}"/>
    <cellStyle name="Bottom single border" xfId="68" xr:uid="{00000000-0005-0000-0000-000043000000}"/>
    <cellStyle name="Business Unit" xfId="69" xr:uid="{00000000-0005-0000-0000-000044000000}"/>
    <cellStyle name="C00A" xfId="70" xr:uid="{00000000-0005-0000-0000-000045000000}"/>
    <cellStyle name="C00B" xfId="71" xr:uid="{00000000-0005-0000-0000-000046000000}"/>
    <cellStyle name="C00L" xfId="72" xr:uid="{00000000-0005-0000-0000-000047000000}"/>
    <cellStyle name="C01A" xfId="73" xr:uid="{00000000-0005-0000-0000-000048000000}"/>
    <cellStyle name="C01B" xfId="74" xr:uid="{00000000-0005-0000-0000-000049000000}"/>
    <cellStyle name="C01H" xfId="75" xr:uid="{00000000-0005-0000-0000-00004A000000}"/>
    <cellStyle name="C01L" xfId="76" xr:uid="{00000000-0005-0000-0000-00004B000000}"/>
    <cellStyle name="C02A" xfId="77" xr:uid="{00000000-0005-0000-0000-00004C000000}"/>
    <cellStyle name="C02B" xfId="78" xr:uid="{00000000-0005-0000-0000-00004D000000}"/>
    <cellStyle name="C02H" xfId="79" xr:uid="{00000000-0005-0000-0000-00004E000000}"/>
    <cellStyle name="C02L" xfId="80" xr:uid="{00000000-0005-0000-0000-00004F000000}"/>
    <cellStyle name="C03A" xfId="81" xr:uid="{00000000-0005-0000-0000-000050000000}"/>
    <cellStyle name="C03B" xfId="82" xr:uid="{00000000-0005-0000-0000-000051000000}"/>
    <cellStyle name="C03H" xfId="83" xr:uid="{00000000-0005-0000-0000-000052000000}"/>
    <cellStyle name="C03L" xfId="84" xr:uid="{00000000-0005-0000-0000-000053000000}"/>
    <cellStyle name="C04A" xfId="85" xr:uid="{00000000-0005-0000-0000-000054000000}"/>
    <cellStyle name="C04B" xfId="86" xr:uid="{00000000-0005-0000-0000-000055000000}"/>
    <cellStyle name="C04H" xfId="87" xr:uid="{00000000-0005-0000-0000-000056000000}"/>
    <cellStyle name="C04L" xfId="88" xr:uid="{00000000-0005-0000-0000-000057000000}"/>
    <cellStyle name="C05A" xfId="89" xr:uid="{00000000-0005-0000-0000-000058000000}"/>
    <cellStyle name="C05B" xfId="90" xr:uid="{00000000-0005-0000-0000-000059000000}"/>
    <cellStyle name="C05H" xfId="91" xr:uid="{00000000-0005-0000-0000-00005A000000}"/>
    <cellStyle name="C05L" xfId="92" xr:uid="{00000000-0005-0000-0000-00005B000000}"/>
    <cellStyle name="C06A" xfId="93" xr:uid="{00000000-0005-0000-0000-00005C000000}"/>
    <cellStyle name="C06B" xfId="94" xr:uid="{00000000-0005-0000-0000-00005D000000}"/>
    <cellStyle name="C06H" xfId="95" xr:uid="{00000000-0005-0000-0000-00005E000000}"/>
    <cellStyle name="C06L" xfId="96" xr:uid="{00000000-0005-0000-0000-00005F000000}"/>
    <cellStyle name="C07A" xfId="97" xr:uid="{00000000-0005-0000-0000-000060000000}"/>
    <cellStyle name="C07B" xfId="98" xr:uid="{00000000-0005-0000-0000-000061000000}"/>
    <cellStyle name="C07H" xfId="99" xr:uid="{00000000-0005-0000-0000-000062000000}"/>
    <cellStyle name="C07L" xfId="100" xr:uid="{00000000-0005-0000-0000-000063000000}"/>
    <cellStyle name="Calculation" xfId="101" builtinId="22" customBuiltin="1"/>
    <cellStyle name="Calculation 2" xfId="102" xr:uid="{00000000-0005-0000-0000-000065000000}"/>
    <cellStyle name="Check Cell" xfId="103" builtinId="23" customBuiltin="1"/>
    <cellStyle name="Check Cell 2" xfId="104" xr:uid="{00000000-0005-0000-0000-000067000000}"/>
    <cellStyle name="Comma" xfId="105" builtinId="3"/>
    <cellStyle name="Comma 0" xfId="106" xr:uid="{00000000-0005-0000-0000-000069000000}"/>
    <cellStyle name="Comma 2" xfId="107" xr:uid="{00000000-0005-0000-0000-00006A000000}"/>
    <cellStyle name="Comma 3" xfId="108" xr:uid="{00000000-0005-0000-0000-00006B000000}"/>
    <cellStyle name="Comma 4" xfId="109" xr:uid="{00000000-0005-0000-0000-00006C000000}"/>
    <cellStyle name="Comma0 - Style1" xfId="110" xr:uid="{00000000-0005-0000-0000-00006D000000}"/>
    <cellStyle name="Currency" xfId="111" builtinId="4"/>
    <cellStyle name="Currency 2" xfId="112" xr:uid="{00000000-0005-0000-0000-00006F000000}"/>
    <cellStyle name="Date" xfId="113" xr:uid="{00000000-0005-0000-0000-000070000000}"/>
    <cellStyle name="Euro" xfId="114" xr:uid="{00000000-0005-0000-0000-000071000000}"/>
    <cellStyle name="Explanatory Text" xfId="115" builtinId="53" customBuiltin="1"/>
    <cellStyle name="Explanatory Text 2" xfId="116" xr:uid="{00000000-0005-0000-0000-000073000000}"/>
    <cellStyle name="Fixed" xfId="117" xr:uid="{00000000-0005-0000-0000-000074000000}"/>
    <cellStyle name="Fixed1 - Style1" xfId="118" xr:uid="{00000000-0005-0000-0000-000075000000}"/>
    <cellStyle name="Gilsans" xfId="119" xr:uid="{00000000-0005-0000-0000-000076000000}"/>
    <cellStyle name="Gilsansl" xfId="120" xr:uid="{00000000-0005-0000-0000-000077000000}"/>
    <cellStyle name="Good" xfId="121" builtinId="26" customBuiltin="1"/>
    <cellStyle name="Good 2" xfId="122" xr:uid="{00000000-0005-0000-0000-000079000000}"/>
    <cellStyle name="Grey" xfId="123" xr:uid="{00000000-0005-0000-0000-00007A000000}"/>
    <cellStyle name="HEADER" xfId="124" xr:uid="{00000000-0005-0000-0000-00007B000000}"/>
    <cellStyle name="Header1" xfId="125" xr:uid="{00000000-0005-0000-0000-00007C000000}"/>
    <cellStyle name="Header2" xfId="126" xr:uid="{00000000-0005-0000-0000-00007D000000}"/>
    <cellStyle name="Heading" xfId="127" xr:uid="{00000000-0005-0000-0000-00007E000000}"/>
    <cellStyle name="Heading 1" xfId="128" builtinId="16" customBuiltin="1"/>
    <cellStyle name="Heading 1 2" xfId="129" xr:uid="{00000000-0005-0000-0000-000080000000}"/>
    <cellStyle name="Heading 2" xfId="130" builtinId="17" customBuiltin="1"/>
    <cellStyle name="Heading 2 2" xfId="131" xr:uid="{00000000-0005-0000-0000-000082000000}"/>
    <cellStyle name="Heading 3" xfId="132" builtinId="18" customBuiltin="1"/>
    <cellStyle name="Heading 3 2" xfId="133" xr:uid="{00000000-0005-0000-0000-000084000000}"/>
    <cellStyle name="Heading 4" xfId="134" builtinId="19" customBuiltin="1"/>
    <cellStyle name="Heading 4 2" xfId="135" xr:uid="{00000000-0005-0000-0000-000086000000}"/>
    <cellStyle name="Heading1" xfId="136" xr:uid="{00000000-0005-0000-0000-000087000000}"/>
    <cellStyle name="Heading2" xfId="137" xr:uid="{00000000-0005-0000-0000-000088000000}"/>
    <cellStyle name="HIGHLIGHT" xfId="138" xr:uid="{00000000-0005-0000-0000-000089000000}"/>
    <cellStyle name="Input" xfId="139" builtinId="20" customBuiltin="1"/>
    <cellStyle name="Input [yellow]" xfId="140" xr:uid="{00000000-0005-0000-0000-00008B000000}"/>
    <cellStyle name="Input 2" xfId="141" xr:uid="{00000000-0005-0000-0000-00008C000000}"/>
    <cellStyle name="Lines" xfId="142" xr:uid="{00000000-0005-0000-0000-00008D000000}"/>
    <cellStyle name="Linked Cell" xfId="143" builtinId="24" customBuiltin="1"/>
    <cellStyle name="Linked Cell 2" xfId="144" xr:uid="{00000000-0005-0000-0000-00008F000000}"/>
    <cellStyle name="MEM SSN" xfId="145" xr:uid="{00000000-0005-0000-0000-000090000000}"/>
    <cellStyle name="Mine" xfId="146" xr:uid="{00000000-0005-0000-0000-000091000000}"/>
    <cellStyle name="mmm-yy" xfId="147" xr:uid="{00000000-0005-0000-0000-000092000000}"/>
    <cellStyle name="Monétaire [0]_pldt" xfId="148" xr:uid="{00000000-0005-0000-0000-000093000000}"/>
    <cellStyle name="Monétaire_pldt" xfId="149" xr:uid="{00000000-0005-0000-0000-000094000000}"/>
    <cellStyle name="Neutral" xfId="150" builtinId="28" customBuiltin="1"/>
    <cellStyle name="Neutral 2" xfId="151" xr:uid="{00000000-0005-0000-0000-000096000000}"/>
    <cellStyle name="New" xfId="152" xr:uid="{00000000-0005-0000-0000-000097000000}"/>
    <cellStyle name="No Border" xfId="153" xr:uid="{00000000-0005-0000-0000-000098000000}"/>
    <cellStyle name="no dec" xfId="154" xr:uid="{00000000-0005-0000-0000-000099000000}"/>
    <cellStyle name="Normal" xfId="0" builtinId="0"/>
    <cellStyle name="Normal - Style1" xfId="155" xr:uid="{00000000-0005-0000-0000-00009B000000}"/>
    <cellStyle name="Normal 2" xfId="156" xr:uid="{00000000-0005-0000-0000-00009C000000}"/>
    <cellStyle name="Normal 2 2" xfId="157" xr:uid="{00000000-0005-0000-0000-00009D000000}"/>
    <cellStyle name="Normal 3" xfId="158" xr:uid="{00000000-0005-0000-0000-00009E000000}"/>
    <cellStyle name="Normal 3 2" xfId="159" xr:uid="{00000000-0005-0000-0000-00009F000000}"/>
    <cellStyle name="Normal 3 5" xfId="237" xr:uid="{2D561CBC-6DDE-4252-AB6B-451610AA55C7}"/>
    <cellStyle name="Normal CEN" xfId="160" xr:uid="{00000000-0005-0000-0000-0000A0000000}"/>
    <cellStyle name="Normal Centered" xfId="161" xr:uid="{00000000-0005-0000-0000-0000A1000000}"/>
    <cellStyle name="NORMAL CTR" xfId="162" xr:uid="{00000000-0005-0000-0000-0000A2000000}"/>
    <cellStyle name="Normal_2002 AREA LOADS FOR JNT TARIFF" xfId="163" xr:uid="{00000000-0005-0000-0000-0000A3000000}"/>
    <cellStyle name="Normal_BHP WP2" xfId="164" xr:uid="{00000000-0005-0000-0000-0000A4000000}"/>
    <cellStyle name="Normal_CU AC Rate Design" xfId="165" xr:uid="{00000000-0005-0000-0000-0000A5000000}"/>
    <cellStyle name="Normal_PRECorp2002HeintzResponse 8-21-03" xfId="166" xr:uid="{00000000-0005-0000-0000-0000A6000000}"/>
    <cellStyle name="Normal_TopSheet Type Ancillaries Worksheet-Updated 81903" xfId="167" xr:uid="{00000000-0005-0000-0000-0000A7000000}"/>
    <cellStyle name="Note" xfId="168" builtinId="10" customBuiltin="1"/>
    <cellStyle name="Note 2" xfId="169" xr:uid="{00000000-0005-0000-0000-0000A9000000}"/>
    <cellStyle name="nUMBER" xfId="170" xr:uid="{00000000-0005-0000-0000-0000AA000000}"/>
    <cellStyle name="Output" xfId="171" builtinId="21" customBuiltin="1"/>
    <cellStyle name="Output 2" xfId="172" xr:uid="{00000000-0005-0000-0000-0000AC000000}"/>
    <cellStyle name="Percent" xfId="173" builtinId="5"/>
    <cellStyle name="Percent [2]" xfId="174" xr:uid="{00000000-0005-0000-0000-0000AE000000}"/>
    <cellStyle name="Percent 2" xfId="175" xr:uid="{00000000-0005-0000-0000-0000AF000000}"/>
    <cellStyle name="PSChar" xfId="176" xr:uid="{00000000-0005-0000-0000-0000B0000000}"/>
    <cellStyle name="PSDate" xfId="177" xr:uid="{00000000-0005-0000-0000-0000B1000000}"/>
    <cellStyle name="PSDec" xfId="178" xr:uid="{00000000-0005-0000-0000-0000B2000000}"/>
    <cellStyle name="PSHeading" xfId="179" xr:uid="{00000000-0005-0000-0000-0000B3000000}"/>
    <cellStyle name="PSInt" xfId="180" xr:uid="{00000000-0005-0000-0000-0000B4000000}"/>
    <cellStyle name="PSSpacer" xfId="181" xr:uid="{00000000-0005-0000-0000-0000B5000000}"/>
    <cellStyle name="R00A" xfId="182" xr:uid="{00000000-0005-0000-0000-0000B6000000}"/>
    <cellStyle name="R00B" xfId="183" xr:uid="{00000000-0005-0000-0000-0000B7000000}"/>
    <cellStyle name="R00L" xfId="184" xr:uid="{00000000-0005-0000-0000-0000B8000000}"/>
    <cellStyle name="R01A" xfId="185" xr:uid="{00000000-0005-0000-0000-0000B9000000}"/>
    <cellStyle name="R01B" xfId="186" xr:uid="{00000000-0005-0000-0000-0000BA000000}"/>
    <cellStyle name="R01H" xfId="187" xr:uid="{00000000-0005-0000-0000-0000BB000000}"/>
    <cellStyle name="R01L" xfId="188" xr:uid="{00000000-0005-0000-0000-0000BC000000}"/>
    <cellStyle name="R02A" xfId="189" xr:uid="{00000000-0005-0000-0000-0000BD000000}"/>
    <cellStyle name="R02B" xfId="190" xr:uid="{00000000-0005-0000-0000-0000BE000000}"/>
    <cellStyle name="R02H" xfId="191" xr:uid="{00000000-0005-0000-0000-0000BF000000}"/>
    <cellStyle name="R02L" xfId="192" xr:uid="{00000000-0005-0000-0000-0000C0000000}"/>
    <cellStyle name="R03A" xfId="193" xr:uid="{00000000-0005-0000-0000-0000C1000000}"/>
    <cellStyle name="R03B" xfId="194" xr:uid="{00000000-0005-0000-0000-0000C2000000}"/>
    <cellStyle name="R03H" xfId="195" xr:uid="{00000000-0005-0000-0000-0000C3000000}"/>
    <cellStyle name="R03L" xfId="196" xr:uid="{00000000-0005-0000-0000-0000C4000000}"/>
    <cellStyle name="R04A" xfId="197" xr:uid="{00000000-0005-0000-0000-0000C5000000}"/>
    <cellStyle name="R04B" xfId="198" xr:uid="{00000000-0005-0000-0000-0000C6000000}"/>
    <cellStyle name="R04H" xfId="199" xr:uid="{00000000-0005-0000-0000-0000C7000000}"/>
    <cellStyle name="R04L" xfId="200" xr:uid="{00000000-0005-0000-0000-0000C8000000}"/>
    <cellStyle name="R05A" xfId="201" xr:uid="{00000000-0005-0000-0000-0000C9000000}"/>
    <cellStyle name="R05B" xfId="202" xr:uid="{00000000-0005-0000-0000-0000CA000000}"/>
    <cellStyle name="R05H" xfId="203" xr:uid="{00000000-0005-0000-0000-0000CB000000}"/>
    <cellStyle name="R05L" xfId="204" xr:uid="{00000000-0005-0000-0000-0000CC000000}"/>
    <cellStyle name="R06A" xfId="205" xr:uid="{00000000-0005-0000-0000-0000CD000000}"/>
    <cellStyle name="R06B" xfId="206" xr:uid="{00000000-0005-0000-0000-0000CE000000}"/>
    <cellStyle name="R06H" xfId="207" xr:uid="{00000000-0005-0000-0000-0000CF000000}"/>
    <cellStyle name="R06L" xfId="208" xr:uid="{00000000-0005-0000-0000-0000D0000000}"/>
    <cellStyle name="R07A" xfId="209" xr:uid="{00000000-0005-0000-0000-0000D1000000}"/>
    <cellStyle name="R07B" xfId="210" xr:uid="{00000000-0005-0000-0000-0000D2000000}"/>
    <cellStyle name="R07H" xfId="211" xr:uid="{00000000-0005-0000-0000-0000D3000000}"/>
    <cellStyle name="R07L" xfId="212" xr:uid="{00000000-0005-0000-0000-0000D4000000}"/>
    <cellStyle name="Resource Detail" xfId="213" xr:uid="{00000000-0005-0000-0000-0000D5000000}"/>
    <cellStyle name="Shade" xfId="214" xr:uid="{00000000-0005-0000-0000-0000D6000000}"/>
    <cellStyle name="single acct" xfId="215" xr:uid="{00000000-0005-0000-0000-0000D7000000}"/>
    <cellStyle name="Single Border" xfId="216" xr:uid="{00000000-0005-0000-0000-0000D8000000}"/>
    <cellStyle name="Small Page Heading" xfId="217" xr:uid="{00000000-0005-0000-0000-0000D9000000}"/>
    <cellStyle name="ssn" xfId="218" xr:uid="{00000000-0005-0000-0000-0000DA000000}"/>
    <cellStyle name="Style 1" xfId="219" xr:uid="{00000000-0005-0000-0000-0000DB000000}"/>
    <cellStyle name="Style 2" xfId="220" xr:uid="{00000000-0005-0000-0000-0000DC000000}"/>
    <cellStyle name="Style 27" xfId="221" xr:uid="{00000000-0005-0000-0000-0000DD000000}"/>
    <cellStyle name="Style 28" xfId="222" xr:uid="{00000000-0005-0000-0000-0000DE000000}"/>
    <cellStyle name="Table Sub Heading" xfId="223" xr:uid="{00000000-0005-0000-0000-0000DF000000}"/>
    <cellStyle name="Table Title" xfId="224" xr:uid="{00000000-0005-0000-0000-0000E0000000}"/>
    <cellStyle name="Table Units" xfId="225" xr:uid="{00000000-0005-0000-0000-0000E1000000}"/>
    <cellStyle name="Theirs" xfId="226" xr:uid="{00000000-0005-0000-0000-0000E2000000}"/>
    <cellStyle name="Times New Roman" xfId="227" xr:uid="{00000000-0005-0000-0000-0000E3000000}"/>
    <cellStyle name="Title" xfId="228" builtinId="15" customBuiltin="1"/>
    <cellStyle name="Title 2" xfId="229" xr:uid="{00000000-0005-0000-0000-0000E5000000}"/>
    <cellStyle name="Total" xfId="230" builtinId="25" customBuiltin="1"/>
    <cellStyle name="Total 2" xfId="231" xr:uid="{00000000-0005-0000-0000-0000E7000000}"/>
    <cellStyle name="Unprot" xfId="232" xr:uid="{00000000-0005-0000-0000-0000E8000000}"/>
    <cellStyle name="Unprot$" xfId="233" xr:uid="{00000000-0005-0000-0000-0000E9000000}"/>
    <cellStyle name="Unprotect" xfId="234" xr:uid="{00000000-0005-0000-0000-0000EA000000}"/>
    <cellStyle name="Warning Text" xfId="235" builtinId="11" customBuiltin="1"/>
    <cellStyle name="Warning Text 2" xfId="236" xr:uid="{00000000-0005-0000-0000-0000E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iermeister, Eric" id="{4B85EACA-205D-4B79-BC95-263B49A721D4}" userId="S::Eric.Schiermeister@blackhillsenergy.com::23f7fa8a-a391-4049-bdde-63547ae3df5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4-09-11T14:51:51.04" personId="{4B85EACA-205D-4B79-BC95-263B49A721D4}" id="{9F511D8B-9650-49CD-ABEC-04FD53E25ABD}">
    <text>BHP, Basin, SDWestm and Gillette come from monthly CUS Peaks and Loads file for NITS.</text>
  </threadedComment>
  <threadedComment ref="I8" dT="2024-09-11T14:53:18.49" personId="{4B85EACA-205D-4B79-BC95-263B49A721D4}" id="{C06169EC-D220-45A0-9F60-D8A8B1B9507E}">
    <text>No longer included in NITS. Previously this was related to the Wygen 1 and 2 loads.</text>
  </threadedComment>
  <threadedComment ref="H9" dT="2024-09-11T14:53:04.38" personId="{4B85EACA-205D-4B79-BC95-263B49A721D4}" id="{D53402B5-826C-4B9B-8D90-7815AF149C2B}">
    <text>OASIS &gt; Reservation Billing &gt; Filter on Yearly Firm reservations. Exclude RCEAST.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zoomScaleNormal="100" workbookViewId="0">
      <selection activeCell="B31" sqref="B31:J42"/>
    </sheetView>
  </sheetViews>
  <sheetFormatPr defaultColWidth="7.109375" defaultRowHeight="12.75"/>
  <cols>
    <col min="1" max="1" width="3.77734375" style="5" customWidth="1"/>
    <col min="2" max="2" width="9.77734375" style="6" customWidth="1"/>
    <col min="3" max="3" width="6.77734375" style="6" customWidth="1"/>
    <col min="4" max="4" width="11.5546875" style="6" customWidth="1"/>
    <col min="5" max="5" width="11.5546875" style="6" bestFit="1" customWidth="1"/>
    <col min="6" max="6" width="12.109375" style="6" customWidth="1"/>
    <col min="7" max="7" width="8.77734375" style="6" bestFit="1" customWidth="1"/>
    <col min="8" max="8" width="9.5546875" style="6" bestFit="1" customWidth="1"/>
    <col min="9" max="9" width="7.109375" style="6" customWidth="1"/>
    <col min="10" max="10" width="8.77734375" style="6" bestFit="1" customWidth="1"/>
    <col min="11" max="11" width="7.109375" style="6" customWidth="1"/>
    <col min="12" max="12" width="11.44140625" style="6" customWidth="1"/>
    <col min="13" max="16384" width="7.109375" style="6"/>
  </cols>
  <sheetData>
    <row r="1" spans="1:14" ht="27" customHeight="1">
      <c r="G1" s="263" t="s">
        <v>395</v>
      </c>
      <c r="H1" s="263"/>
      <c r="N1" s="198"/>
    </row>
    <row r="3" spans="1:14" ht="15" customHeight="1">
      <c r="A3" s="247" t="s">
        <v>273</v>
      </c>
      <c r="B3" s="247"/>
      <c r="C3" s="247"/>
      <c r="D3" s="247"/>
      <c r="E3" s="247"/>
      <c r="F3" s="247"/>
      <c r="G3" s="247"/>
      <c r="H3" s="247"/>
    </row>
    <row r="4" spans="1:14" ht="15" customHeight="1">
      <c r="A4" s="247" t="s">
        <v>43</v>
      </c>
      <c r="B4" s="247"/>
      <c r="C4" s="247"/>
      <c r="D4" s="247"/>
      <c r="E4" s="247"/>
      <c r="F4" s="247"/>
      <c r="G4" s="247"/>
      <c r="H4" s="247"/>
    </row>
    <row r="6" spans="1:14">
      <c r="A6" s="7" t="s">
        <v>38</v>
      </c>
    </row>
    <row r="8" spans="1:14">
      <c r="A8" s="5">
        <v>1</v>
      </c>
      <c r="B8" s="6" t="s">
        <v>80</v>
      </c>
      <c r="H8" s="264">
        <v>1081814</v>
      </c>
      <c r="I8" s="265" t="s">
        <v>396</v>
      </c>
      <c r="J8" s="265"/>
      <c r="K8" s="265"/>
      <c r="L8" s="265"/>
      <c r="N8" s="198"/>
    </row>
    <row r="10" spans="1:14" ht="39" thickBot="1">
      <c r="D10" s="8" t="str">
        <f>+B20</f>
        <v>Entity</v>
      </c>
      <c r="E10" s="9"/>
      <c r="F10" s="10" t="s">
        <v>114</v>
      </c>
      <c r="G10" s="8" t="s">
        <v>192</v>
      </c>
      <c r="H10" s="10" t="s">
        <v>275</v>
      </c>
    </row>
    <row r="11" spans="1:14">
      <c r="D11" s="5"/>
      <c r="F11" s="11"/>
      <c r="G11" s="5"/>
      <c r="H11" s="11"/>
    </row>
    <row r="12" spans="1:14">
      <c r="A12" s="5">
        <v>2</v>
      </c>
      <c r="D12" s="6" t="s">
        <v>276</v>
      </c>
      <c r="F12" s="20">
        <f>+L22</f>
        <v>31.840731223431103</v>
      </c>
      <c r="G12" s="80">
        <f>+F12/F$15</f>
        <v>0.63465385146728648</v>
      </c>
      <c r="H12" s="81">
        <f>+H$8*G12</f>
        <v>686577.42167123104</v>
      </c>
      <c r="J12" s="12"/>
      <c r="K12" s="13"/>
    </row>
    <row r="13" spans="1:14">
      <c r="A13" s="5">
        <v>3</v>
      </c>
      <c r="D13" s="6" t="s">
        <v>277</v>
      </c>
      <c r="F13" s="41">
        <f>+L23</f>
        <v>16.237546019656016</v>
      </c>
      <c r="G13" s="80">
        <f>+F13/F$15</f>
        <v>0.32364900942251429</v>
      </c>
      <c r="H13" s="81">
        <f>+H$8*G13</f>
        <v>350128.02947940788</v>
      </c>
      <c r="J13" s="14"/>
      <c r="K13" s="13"/>
    </row>
    <row r="14" spans="1:14" ht="13.5" thickBot="1">
      <c r="A14" s="5">
        <v>4</v>
      </c>
      <c r="D14" s="9" t="s">
        <v>278</v>
      </c>
      <c r="E14" s="9"/>
      <c r="F14" s="64">
        <f>+L24</f>
        <v>2.0919551596896082</v>
      </c>
      <c r="G14" s="65">
        <f>+F14/F$15</f>
        <v>4.1697139110199274E-2</v>
      </c>
      <c r="H14" s="66">
        <f>+H$8*G14</f>
        <v>45108.548849361119</v>
      </c>
      <c r="J14" s="14"/>
      <c r="K14" s="13"/>
    </row>
    <row r="15" spans="1:14">
      <c r="A15" s="5">
        <v>5</v>
      </c>
      <c r="D15" s="265" t="s">
        <v>137</v>
      </c>
      <c r="E15" s="265"/>
      <c r="F15" s="267">
        <f>SUM(F12:F14)</f>
        <v>50.170232402776726</v>
      </c>
      <c r="G15" s="268">
        <f>+F15/F$15</f>
        <v>1</v>
      </c>
      <c r="H15" s="269">
        <f>SUM(H12:H14)</f>
        <v>1081814</v>
      </c>
      <c r="J15" s="12"/>
    </row>
    <row r="16" spans="1:14">
      <c r="D16" s="265"/>
      <c r="E16" s="265"/>
      <c r="F16" s="265"/>
      <c r="G16" s="265"/>
      <c r="H16" s="265"/>
    </row>
    <row r="17" spans="1:18">
      <c r="D17" s="265"/>
      <c r="E17" s="265"/>
      <c r="F17" s="265"/>
      <c r="G17" s="265"/>
      <c r="H17" s="265"/>
    </row>
    <row r="18" spans="1:18">
      <c r="A18" s="7" t="s">
        <v>279</v>
      </c>
      <c r="D18" s="265"/>
      <c r="E18" s="266" t="s">
        <v>400</v>
      </c>
      <c r="F18" s="265"/>
      <c r="G18" s="265"/>
      <c r="H18" s="265"/>
      <c r="N18" s="198"/>
    </row>
    <row r="20" spans="1:18" ht="39" thickBot="1">
      <c r="B20" s="9" t="s">
        <v>280</v>
      </c>
      <c r="C20" s="9"/>
      <c r="D20" s="10" t="s">
        <v>115</v>
      </c>
      <c r="E20" s="10" t="s">
        <v>117</v>
      </c>
      <c r="F20" s="10" t="s">
        <v>281</v>
      </c>
      <c r="G20" s="272" t="s">
        <v>401</v>
      </c>
      <c r="H20" s="10" t="s">
        <v>236</v>
      </c>
      <c r="L20" s="265"/>
      <c r="N20" s="198"/>
    </row>
    <row r="21" spans="1:18">
      <c r="L21" s="265"/>
      <c r="M21" s="72" t="s">
        <v>302</v>
      </c>
      <c r="N21" s="73"/>
      <c r="O21" s="73"/>
      <c r="P21" s="74"/>
    </row>
    <row r="22" spans="1:18">
      <c r="A22" s="5">
        <v>6</v>
      </c>
      <c r="B22" s="6" t="str">
        <f>+D12</f>
        <v>Black Hills</v>
      </c>
      <c r="D22" s="271">
        <f>Estimate!J123</f>
        <v>32320343.89215868</v>
      </c>
      <c r="E22" s="15">
        <f>-H12</f>
        <v>-686577.42167123104</v>
      </c>
      <c r="F22" s="15">
        <f>+E22+D22</f>
        <v>31633766.470487449</v>
      </c>
      <c r="G22" s="27">
        <f>+'WP7 CU AC LOADS'!J44*1000</f>
        <v>993500</v>
      </c>
      <c r="H22" s="16">
        <f>+F22/G22</f>
        <v>31.840731223439807</v>
      </c>
      <c r="J22" s="67" t="s">
        <v>83</v>
      </c>
      <c r="L22" s="270">
        <v>31.840731223431103</v>
      </c>
      <c r="M22" s="75" t="s">
        <v>303</v>
      </c>
      <c r="P22" s="76"/>
      <c r="R22" s="209"/>
    </row>
    <row r="23" spans="1:18">
      <c r="A23" s="5">
        <v>7</v>
      </c>
      <c r="B23" s="6" t="str">
        <f>+D13</f>
        <v>Basin Electric</v>
      </c>
      <c r="D23" s="211">
        <v>16482130</v>
      </c>
      <c r="E23" s="15">
        <f>-H13</f>
        <v>-350128.02947940788</v>
      </c>
      <c r="F23" s="15">
        <f>+E23+D23</f>
        <v>16132001.970520591</v>
      </c>
      <c r="G23" s="17">
        <f>+G22</f>
        <v>993500</v>
      </c>
      <c r="H23" s="16">
        <f>+F23/G23</f>
        <v>16.237546019648306</v>
      </c>
      <c r="J23" s="67" t="s">
        <v>83</v>
      </c>
      <c r="L23" s="270">
        <v>16.237546019656016</v>
      </c>
      <c r="M23" s="75" t="s">
        <v>304</v>
      </c>
      <c r="P23" s="76"/>
      <c r="R23" s="209"/>
    </row>
    <row r="24" spans="1:18" ht="13.5" thickBot="1">
      <c r="A24" s="5">
        <v>8</v>
      </c>
      <c r="B24" s="9" t="str">
        <f>+D14</f>
        <v>PRECorp</v>
      </c>
      <c r="C24" s="9"/>
      <c r="D24" s="212">
        <v>2123466</v>
      </c>
      <c r="E24" s="18">
        <f>-H14</f>
        <v>-45108.548849361119</v>
      </c>
      <c r="F24" s="18">
        <f>+E24+D24</f>
        <v>2078357.451150639</v>
      </c>
      <c r="G24" s="82">
        <f>+G23</f>
        <v>993500</v>
      </c>
      <c r="H24" s="83">
        <f>+F24/G24</f>
        <v>2.0919551596886148</v>
      </c>
      <c r="J24" s="67" t="s">
        <v>83</v>
      </c>
      <c r="L24" s="270">
        <v>2.0919551596896082</v>
      </c>
      <c r="M24" s="77" t="s">
        <v>305</v>
      </c>
      <c r="N24" s="78"/>
      <c r="O24" s="78"/>
      <c r="P24" s="79"/>
      <c r="R24" s="209"/>
    </row>
    <row r="25" spans="1:18">
      <c r="A25" s="5">
        <v>9</v>
      </c>
      <c r="B25" s="6" t="s">
        <v>137</v>
      </c>
      <c r="D25" s="15">
        <f>SUM(D22:D24)</f>
        <v>50925939.89215868</v>
      </c>
      <c r="E25" s="15">
        <f>SUM(E22:E24)</f>
        <v>-1081814</v>
      </c>
      <c r="F25" s="15">
        <f>SUM(F22:F24)</f>
        <v>49844125.89215868</v>
      </c>
      <c r="H25" s="16">
        <f>SUM(H22:H24)</f>
        <v>50.170232402776726</v>
      </c>
      <c r="L25" s="265"/>
    </row>
    <row r="26" spans="1:18">
      <c r="F26" s="15"/>
      <c r="G26" s="17"/>
      <c r="H26" s="16"/>
      <c r="L26" s="265"/>
    </row>
    <row r="27" spans="1:18">
      <c r="A27" s="7" t="s">
        <v>282</v>
      </c>
    </row>
    <row r="28" spans="1:18">
      <c r="A28" s="5">
        <v>10</v>
      </c>
      <c r="D28" s="6" t="s">
        <v>283</v>
      </c>
      <c r="F28" s="20">
        <f>+H25</f>
        <v>50.170232402776726</v>
      </c>
      <c r="G28" s="19" t="s">
        <v>284</v>
      </c>
      <c r="H28" s="41">
        <f>ROUND(F28,2)*1000</f>
        <v>50170</v>
      </c>
      <c r="I28" s="6" t="s">
        <v>373</v>
      </c>
    </row>
    <row r="29" spans="1:18">
      <c r="A29" s="5">
        <f t="shared" ref="A29:A34" si="0">+A28+1</f>
        <v>11</v>
      </c>
      <c r="D29" s="6" t="s">
        <v>285</v>
      </c>
      <c r="F29" s="20">
        <f>ROUND(F28/12,2)</f>
        <v>4.18</v>
      </c>
      <c r="G29" s="19" t="s">
        <v>286</v>
      </c>
      <c r="H29" s="41">
        <f t="shared" ref="H29:H34" si="1">F29*1000</f>
        <v>4180</v>
      </c>
      <c r="I29" s="6" t="s">
        <v>373</v>
      </c>
    </row>
    <row r="30" spans="1:18">
      <c r="A30" s="5">
        <f t="shared" si="0"/>
        <v>12</v>
      </c>
      <c r="D30" s="6" t="s">
        <v>287</v>
      </c>
      <c r="F30" s="20">
        <f>ROUND(F28/52,2)</f>
        <v>0.96</v>
      </c>
      <c r="G30" s="19" t="s">
        <v>288</v>
      </c>
      <c r="H30" s="41">
        <f t="shared" si="1"/>
        <v>960</v>
      </c>
      <c r="I30" s="6" t="s">
        <v>373</v>
      </c>
    </row>
    <row r="31" spans="1:18">
      <c r="A31" s="5">
        <f t="shared" si="0"/>
        <v>13</v>
      </c>
      <c r="D31" s="6" t="s">
        <v>289</v>
      </c>
      <c r="E31" s="6" t="s">
        <v>290</v>
      </c>
      <c r="F31" s="42">
        <f>+F30/6</f>
        <v>0.16</v>
      </c>
      <c r="G31" s="19" t="s">
        <v>291</v>
      </c>
      <c r="H31" s="41">
        <f t="shared" si="1"/>
        <v>160</v>
      </c>
      <c r="I31" s="6" t="s">
        <v>373</v>
      </c>
    </row>
    <row r="32" spans="1:18">
      <c r="A32" s="5">
        <f t="shared" si="0"/>
        <v>14</v>
      </c>
      <c r="D32" s="6" t="s">
        <v>292</v>
      </c>
      <c r="E32" s="6" t="s">
        <v>293</v>
      </c>
      <c r="F32" s="42">
        <f>+F30/7</f>
        <v>0.13714285714285715</v>
      </c>
      <c r="G32" s="19" t="s">
        <v>291</v>
      </c>
      <c r="H32" s="41">
        <f t="shared" si="1"/>
        <v>137.14285714285714</v>
      </c>
      <c r="I32" s="6" t="s">
        <v>373</v>
      </c>
    </row>
    <row r="33" spans="1:9">
      <c r="A33" s="5">
        <f t="shared" si="0"/>
        <v>15</v>
      </c>
      <c r="D33" s="6" t="s">
        <v>294</v>
      </c>
      <c r="E33" s="6" t="s">
        <v>295</v>
      </c>
      <c r="F33" s="43">
        <f>+F31/16</f>
        <v>0.01</v>
      </c>
      <c r="G33" s="19" t="s">
        <v>296</v>
      </c>
      <c r="H33" s="41">
        <f t="shared" si="1"/>
        <v>10</v>
      </c>
      <c r="I33" s="6" t="s">
        <v>373</v>
      </c>
    </row>
    <row r="34" spans="1:9">
      <c r="A34" s="5">
        <f t="shared" si="0"/>
        <v>16</v>
      </c>
      <c r="D34" s="6" t="s">
        <v>297</v>
      </c>
      <c r="E34" s="6" t="s">
        <v>298</v>
      </c>
      <c r="F34" s="43">
        <f>+F32/24</f>
        <v>5.7142857142857143E-3</v>
      </c>
      <c r="G34" s="19" t="s">
        <v>296</v>
      </c>
      <c r="H34" s="41">
        <f t="shared" si="1"/>
        <v>5.7142857142857144</v>
      </c>
      <c r="I34" s="6" t="s">
        <v>373</v>
      </c>
    </row>
    <row r="36" spans="1:9">
      <c r="A36" s="7" t="s">
        <v>299</v>
      </c>
    </row>
    <row r="38" spans="1:9">
      <c r="B38" s="6" t="str">
        <f>+D20</f>
        <v>Component Annual Revenue Requirements</v>
      </c>
      <c r="E38" s="15">
        <f>+D25</f>
        <v>50925939.89215868</v>
      </c>
    </row>
    <row r="39" spans="1:9">
      <c r="B39" s="6" t="s">
        <v>274</v>
      </c>
      <c r="E39" s="15">
        <f>+E25</f>
        <v>-1081814</v>
      </c>
    </row>
    <row r="40" spans="1:9">
      <c r="B40" s="6" t="str">
        <f>+F20</f>
        <v>Net Revenue Requirements</v>
      </c>
      <c r="E40" s="15">
        <f>+F25</f>
        <v>49844125.89215868</v>
      </c>
    </row>
    <row r="41" spans="1:9">
      <c r="B41" s="6" t="str">
        <f>+G20</f>
        <v>Projected 2025 Load</v>
      </c>
      <c r="E41" s="17">
        <f>+G22</f>
        <v>993500</v>
      </c>
    </row>
    <row r="42" spans="1:9">
      <c r="B42" s="6" t="str">
        <f>+H20</f>
        <v>Annual Rate</v>
      </c>
      <c r="E42" s="20">
        <f>+E40/E41</f>
        <v>50.170232402776726</v>
      </c>
    </row>
  </sheetData>
  <mergeCells count="3">
    <mergeCell ref="A3:H3"/>
    <mergeCell ref="A4:H4"/>
    <mergeCell ref="G1:H1"/>
  </mergeCells>
  <phoneticPr fontId="14" type="noConversion"/>
  <printOptions horizontalCentered="1"/>
  <pageMargins left="0.75" right="0.75" top="1" bottom="1" header="0.5" footer="0.5"/>
  <pageSetup orientation="portrait" r:id="rId1"/>
  <headerFooter alignWithMargins="0">
    <oddHeader>&amp;L&amp;8 2016 BHP Transmission Rate True-Up&amp;R&amp;"Arial,Regular"&amp;10Page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37"/>
  <sheetViews>
    <sheetView showGridLines="0" zoomScale="80" zoomScaleNormal="80" workbookViewId="0">
      <pane xSplit="3" ySplit="11" topLeftCell="D12" activePane="bottomRight" state="frozen"/>
      <selection activeCell="B31" sqref="B31:J42"/>
      <selection pane="topRight" activeCell="B31" sqref="B31:J42"/>
      <selection pane="bottomLeft" activeCell="B31" sqref="B31:J42"/>
      <selection pane="bottomRight" activeCell="B31" sqref="B31:J42"/>
    </sheetView>
  </sheetViews>
  <sheetFormatPr defaultColWidth="8.77734375" defaultRowHeight="15"/>
  <cols>
    <col min="1" max="1" width="6" customWidth="1"/>
    <col min="2" max="2" width="1.44140625" customWidth="1"/>
    <col min="3" max="3" width="48.5546875" customWidth="1"/>
    <col min="4" max="4" width="34.5546875" customWidth="1"/>
    <col min="5" max="5" width="23.109375" customWidth="1"/>
    <col min="6" max="6" width="7.77734375" customWidth="1"/>
    <col min="7" max="7" width="6.21875" customWidth="1"/>
    <col min="8" max="8" width="14" customWidth="1"/>
    <col min="9" max="9" width="7.5546875" customWidth="1"/>
    <col min="10" max="10" width="17.77734375" bestFit="1" customWidth="1"/>
    <col min="11" max="11" width="1.109375" customWidth="1"/>
    <col min="12" max="12" width="14.44140625" bestFit="1" customWidth="1"/>
    <col min="13" max="13" width="14" style="217" bestFit="1" customWidth="1"/>
    <col min="14" max="14" width="15.77734375" customWidth="1"/>
    <col min="15" max="15" width="13.44140625" bestFit="1" customWidth="1"/>
  </cols>
  <sheetData>
    <row r="1" spans="1:40" ht="15.75">
      <c r="I1" s="105" t="s">
        <v>320</v>
      </c>
      <c r="J1" s="191">
        <v>45565</v>
      </c>
      <c r="M1" s="215"/>
    </row>
    <row r="2" spans="1:40" ht="15.75">
      <c r="A2" s="3"/>
      <c r="B2" s="3"/>
      <c r="C2" s="3"/>
      <c r="D2" s="62"/>
      <c r="E2" s="3"/>
      <c r="F2" s="3"/>
      <c r="G2" s="3"/>
      <c r="I2" s="106" t="s">
        <v>116</v>
      </c>
      <c r="J2" s="192">
        <v>2025</v>
      </c>
      <c r="L2" s="107"/>
      <c r="M2" s="215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</row>
    <row r="3" spans="1:4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07"/>
      <c r="M3" s="216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</row>
    <row r="4" spans="1:40" ht="15" customHeight="1">
      <c r="A4" s="249" t="s">
        <v>238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107"/>
      <c r="M4" s="216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</row>
    <row r="5" spans="1:40" ht="15.75">
      <c r="A5" s="250" t="s">
        <v>134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107"/>
      <c r="M5" s="216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</row>
    <row r="6" spans="1:40">
      <c r="A6" s="3"/>
      <c r="B6" s="3"/>
      <c r="C6" s="93"/>
      <c r="D6" s="93"/>
      <c r="F6" s="93"/>
      <c r="G6" s="93"/>
      <c r="H6" s="93"/>
      <c r="I6" s="93"/>
      <c r="J6" s="93"/>
      <c r="K6" s="93"/>
      <c r="L6" s="107"/>
      <c r="M6" s="216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</row>
    <row r="7" spans="1:40" ht="15" customHeight="1">
      <c r="A7" s="248" t="s">
        <v>237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107"/>
      <c r="M7" s="216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</row>
    <row r="8" spans="1:40">
      <c r="A8" s="44"/>
      <c r="B8" s="3"/>
      <c r="C8" s="93"/>
      <c r="D8" s="93"/>
      <c r="E8" s="110"/>
      <c r="F8" s="93"/>
      <c r="G8" s="93"/>
      <c r="H8" s="93"/>
      <c r="I8" s="93"/>
      <c r="J8" s="93"/>
      <c r="K8" s="93"/>
      <c r="L8" s="107"/>
      <c r="M8" s="216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</row>
    <row r="9" spans="1:40">
      <c r="A9" s="3"/>
      <c r="B9" s="3"/>
      <c r="C9" s="111" t="s">
        <v>139</v>
      </c>
      <c r="D9" s="111" t="s">
        <v>140</v>
      </c>
      <c r="E9" s="111" t="s">
        <v>141</v>
      </c>
      <c r="F9" s="1" t="s">
        <v>133</v>
      </c>
      <c r="G9" s="1"/>
      <c r="H9" s="112" t="s">
        <v>142</v>
      </c>
      <c r="I9" s="1"/>
      <c r="J9" s="113" t="s">
        <v>143</v>
      </c>
      <c r="K9" s="1"/>
      <c r="L9" s="107"/>
      <c r="M9" s="216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</row>
    <row r="10" spans="1:40" ht="15.75">
      <c r="A10" s="3"/>
      <c r="B10" s="3"/>
      <c r="C10" s="93"/>
      <c r="D10" s="109" t="s">
        <v>144</v>
      </c>
      <c r="E10" s="1"/>
      <c r="F10" s="1"/>
      <c r="G10" s="114" t="s">
        <v>59</v>
      </c>
      <c r="H10" s="44"/>
      <c r="I10" s="1"/>
      <c r="J10" s="108" t="s">
        <v>145</v>
      </c>
      <c r="K10" s="1"/>
      <c r="L10" s="107"/>
      <c r="M10" s="216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</row>
    <row r="11" spans="1:40" ht="15.75">
      <c r="A11" s="44" t="s">
        <v>135</v>
      </c>
      <c r="B11" s="3"/>
      <c r="C11" s="93"/>
      <c r="D11" s="115" t="s">
        <v>146</v>
      </c>
      <c r="E11" s="108" t="s">
        <v>147</v>
      </c>
      <c r="F11" s="116"/>
      <c r="G11" s="117" t="s">
        <v>49</v>
      </c>
      <c r="H11" s="118"/>
      <c r="I11" s="116"/>
      <c r="J11" s="44" t="s">
        <v>148</v>
      </c>
      <c r="K11" s="1"/>
      <c r="L11" s="107"/>
      <c r="M11" s="216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</row>
    <row r="12" spans="1:40" ht="16.5" thickBot="1">
      <c r="A12" s="119" t="s">
        <v>136</v>
      </c>
      <c r="B12" s="3"/>
      <c r="C12" s="120" t="s">
        <v>149</v>
      </c>
      <c r="D12" s="1"/>
      <c r="E12" s="1"/>
      <c r="F12" s="1"/>
      <c r="G12" s="1"/>
      <c r="H12" s="1"/>
      <c r="I12" s="1"/>
      <c r="J12" s="1"/>
      <c r="K12" s="1"/>
      <c r="L12" s="107"/>
      <c r="M12" s="216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</row>
    <row r="13" spans="1:40">
      <c r="A13" s="44"/>
      <c r="B13" s="3"/>
      <c r="C13" s="93"/>
      <c r="D13" s="1"/>
      <c r="E13" s="1"/>
      <c r="F13" s="1"/>
      <c r="G13" s="1"/>
      <c r="H13" s="1"/>
      <c r="I13" s="1"/>
      <c r="J13" s="1"/>
      <c r="K13" s="1"/>
      <c r="L13" s="107"/>
      <c r="M13" s="216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</row>
    <row r="14" spans="1:40">
      <c r="A14" s="44"/>
      <c r="B14" s="3"/>
      <c r="C14" s="93" t="s">
        <v>150</v>
      </c>
      <c r="D14" s="1" t="s">
        <v>321</v>
      </c>
      <c r="E14" s="1"/>
      <c r="F14" s="1"/>
      <c r="G14" s="1"/>
      <c r="H14" s="1"/>
      <c r="I14" s="1"/>
      <c r="J14" s="1"/>
      <c r="K14" s="1"/>
      <c r="L14" s="107"/>
      <c r="M14" s="216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</row>
    <row r="15" spans="1:40">
      <c r="A15" s="44">
        <v>1</v>
      </c>
      <c r="B15" s="3"/>
      <c r="C15" s="93" t="s">
        <v>151</v>
      </c>
      <c r="D15" s="1" t="s">
        <v>39</v>
      </c>
      <c r="E15" s="180">
        <f>+'WP6 Rate Base'!Q15</f>
        <v>720000126.28000033</v>
      </c>
      <c r="F15" s="1"/>
      <c r="G15" s="1" t="s">
        <v>152</v>
      </c>
      <c r="H15" s="121" t="s">
        <v>133</v>
      </c>
      <c r="I15" s="1"/>
      <c r="J15" s="1" t="s">
        <v>133</v>
      </c>
      <c r="K15" s="1"/>
      <c r="L15" s="107"/>
      <c r="M15" s="216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</row>
    <row r="16" spans="1:40">
      <c r="A16" s="44">
        <v>2</v>
      </c>
      <c r="B16" s="3"/>
      <c r="C16" s="93" t="s">
        <v>153</v>
      </c>
      <c r="D16" s="1" t="s">
        <v>84</v>
      </c>
      <c r="E16" s="180">
        <f>+'WP6 Rate Base'!Q16</f>
        <v>298726431.65754336</v>
      </c>
      <c r="F16" s="1"/>
      <c r="G16" s="1" t="s">
        <v>138</v>
      </c>
      <c r="H16" s="121">
        <f>+J145</f>
        <v>0.87127299999999996</v>
      </c>
      <c r="I16" s="1"/>
      <c r="J16" s="1">
        <f>+H16*E16</f>
        <v>260272274.28956276</v>
      </c>
      <c r="K16" s="1"/>
      <c r="L16" s="107"/>
      <c r="M16" s="216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</row>
    <row r="17" spans="1:40">
      <c r="A17" s="44">
        <v>3</v>
      </c>
      <c r="B17" s="3"/>
      <c r="C17" s="93" t="s">
        <v>354</v>
      </c>
      <c r="D17" s="1" t="s">
        <v>355</v>
      </c>
      <c r="E17" s="1">
        <f>'BHP WP2 Capital Additions'!F20</f>
        <v>800207.27000000014</v>
      </c>
      <c r="F17" s="1"/>
      <c r="G17" s="1" t="s">
        <v>138</v>
      </c>
      <c r="H17" s="121">
        <f>H16</f>
        <v>0.87127299999999996</v>
      </c>
      <c r="I17" s="1"/>
      <c r="J17" s="1">
        <f>+H17*E17</f>
        <v>697198.98875471007</v>
      </c>
      <c r="K17" s="1"/>
      <c r="L17" s="107"/>
      <c r="M17" s="216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</row>
    <row r="18" spans="1:40">
      <c r="A18" s="44">
        <v>4</v>
      </c>
      <c r="B18" s="3"/>
      <c r="C18" s="93" t="s">
        <v>354</v>
      </c>
      <c r="D18" s="1" t="s">
        <v>356</v>
      </c>
      <c r="E18" s="1">
        <f>'BHP WP3 Capital Additions'!F23</f>
        <v>0</v>
      </c>
      <c r="F18" s="1"/>
      <c r="G18" s="1" t="s">
        <v>138</v>
      </c>
      <c r="H18" s="121">
        <f>H17</f>
        <v>0.87127299999999996</v>
      </c>
      <c r="I18" s="1"/>
      <c r="J18" s="1">
        <f>+H18*E18</f>
        <v>0</v>
      </c>
      <c r="K18" s="1"/>
      <c r="L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</row>
    <row r="19" spans="1:40">
      <c r="A19" s="44">
        <v>5</v>
      </c>
      <c r="B19" s="3"/>
      <c r="C19" s="93" t="s">
        <v>154</v>
      </c>
      <c r="D19" s="1" t="s">
        <v>85</v>
      </c>
      <c r="E19" s="180">
        <f>+'WP6 Rate Base'!Q17</f>
        <v>539541946.36650956</v>
      </c>
      <c r="F19" s="1"/>
      <c r="G19" s="1" t="s">
        <v>152</v>
      </c>
      <c r="H19" s="122"/>
      <c r="I19" s="1"/>
      <c r="J19" s="1"/>
      <c r="K19" s="1"/>
      <c r="L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</row>
    <row r="20" spans="1:40">
      <c r="A20" s="44">
        <v>6</v>
      </c>
      <c r="B20" s="3"/>
      <c r="C20" s="93" t="s">
        <v>155</v>
      </c>
      <c r="D20" s="1" t="s">
        <v>362</v>
      </c>
      <c r="E20" s="180">
        <f>+'WP6 Rate Base'!Q18</f>
        <v>70254998.269999996</v>
      </c>
      <c r="F20" s="1"/>
      <c r="G20" s="1" t="s">
        <v>156</v>
      </c>
      <c r="H20" s="121">
        <f>J177</f>
        <v>0.11180951533606591</v>
      </c>
      <c r="I20" s="1"/>
      <c r="J20" s="1">
        <f>+H20*E20</f>
        <v>7855177.3065048484</v>
      </c>
      <c r="K20" s="1"/>
      <c r="L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</row>
    <row r="21" spans="1:40">
      <c r="A21" s="44">
        <v>7</v>
      </c>
      <c r="B21" s="3"/>
      <c r="C21" s="93" t="s">
        <v>101</v>
      </c>
      <c r="D21" s="1" t="s">
        <v>363</v>
      </c>
      <c r="E21" s="180">
        <f>+'WP6 Rate Base'!Q19</f>
        <v>34146719</v>
      </c>
      <c r="F21" s="1"/>
      <c r="G21" s="1" t="s">
        <v>156</v>
      </c>
      <c r="H21" s="121">
        <f>+H20</f>
        <v>0.11180951533606591</v>
      </c>
      <c r="I21" s="1"/>
      <c r="J21" s="1">
        <f>+H21*E21</f>
        <v>3817928.1017068331</v>
      </c>
      <c r="K21" s="1"/>
      <c r="L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>
      <c r="A22" s="44">
        <v>8</v>
      </c>
      <c r="B22" s="3"/>
      <c r="C22" s="93" t="s">
        <v>68</v>
      </c>
      <c r="D22" s="1" t="s">
        <v>364</v>
      </c>
      <c r="E22" s="180">
        <f>+'WP6 Rate Base'!Q20</f>
        <v>6831887.1899999995</v>
      </c>
      <c r="F22" s="1"/>
      <c r="G22" s="1" t="s">
        <v>95</v>
      </c>
      <c r="H22" s="121">
        <f>+J182</f>
        <v>0.34827214518925953</v>
      </c>
      <c r="I22" s="1"/>
      <c r="J22" s="1">
        <f>+H22*E22</f>
        <v>2379356.0073523223</v>
      </c>
      <c r="K22" s="1"/>
      <c r="L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</row>
    <row r="23" spans="1:40" ht="15.75" thickBot="1">
      <c r="A23" s="44">
        <v>9</v>
      </c>
      <c r="B23" s="3"/>
      <c r="C23" s="93" t="s">
        <v>157</v>
      </c>
      <c r="D23" s="1" t="s">
        <v>158</v>
      </c>
      <c r="E23" s="181">
        <f>+'WP6 Rate Base'!Q21</f>
        <v>0</v>
      </c>
      <c r="F23" s="1"/>
      <c r="G23" s="1" t="s">
        <v>189</v>
      </c>
      <c r="H23" s="121">
        <v>0</v>
      </c>
      <c r="I23" s="1"/>
      <c r="J23" s="4">
        <f>+H23*E23</f>
        <v>0</v>
      </c>
      <c r="K23" s="1"/>
      <c r="L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</row>
    <row r="24" spans="1:40">
      <c r="A24" s="44">
        <v>10</v>
      </c>
      <c r="B24" s="3"/>
      <c r="C24" s="2" t="s">
        <v>5</v>
      </c>
      <c r="D24" s="1" t="str">
        <f>"(sum lines "&amp;A15&amp;" - "&amp;A23&amp;")"</f>
        <v>(sum lines 1 - 9)</v>
      </c>
      <c r="E24" s="1">
        <f>SUM(E15:E23)</f>
        <v>1670302316.0340533</v>
      </c>
      <c r="F24" s="1"/>
      <c r="G24" s="1" t="s">
        <v>159</v>
      </c>
      <c r="H24" s="123">
        <f>IF(E24&gt;0,+J24/E24,0)</f>
        <v>0.16465398631960856</v>
      </c>
      <c r="I24" s="1"/>
      <c r="J24" s="1">
        <f>SUM(J15:J23)</f>
        <v>275021934.69388151</v>
      </c>
      <c r="K24" s="1"/>
      <c r="L24" s="107"/>
      <c r="M24" s="216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</row>
    <row r="25" spans="1:40">
      <c r="A25" s="44">
        <v>11</v>
      </c>
      <c r="B25" s="3"/>
      <c r="C25" s="93"/>
      <c r="D25" s="1"/>
      <c r="E25" s="1"/>
      <c r="F25" s="1"/>
      <c r="G25" s="1"/>
      <c r="H25" s="123"/>
      <c r="I25" s="1"/>
      <c r="J25" s="1"/>
      <c r="K25" s="1"/>
      <c r="L25" s="107"/>
      <c r="M25" s="216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</row>
    <row r="26" spans="1:40">
      <c r="A26" s="44">
        <v>12</v>
      </c>
      <c r="B26" s="3"/>
      <c r="C26" s="93" t="s">
        <v>160</v>
      </c>
      <c r="D26" s="1"/>
      <c r="E26" s="1"/>
      <c r="F26" s="1"/>
      <c r="G26" s="1"/>
      <c r="H26" s="1"/>
      <c r="I26" s="1"/>
      <c r="J26" s="1"/>
      <c r="K26" s="1"/>
      <c r="L26" s="107"/>
      <c r="M26" s="216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</row>
    <row r="27" spans="1:40">
      <c r="A27" s="44">
        <v>13</v>
      </c>
      <c r="B27" s="3"/>
      <c r="C27" s="93" t="str">
        <f>+C15</f>
        <v xml:space="preserve">  Production</v>
      </c>
      <c r="D27" s="1" t="s">
        <v>314</v>
      </c>
      <c r="E27" s="180">
        <f>+'WP6 Rate Base'!Q25</f>
        <v>249744133.58999997</v>
      </c>
      <c r="F27" s="1"/>
      <c r="G27" s="1" t="str">
        <f>+G15</f>
        <v>NA</v>
      </c>
      <c r="H27" s="121" t="str">
        <f>+H15</f>
        <v xml:space="preserve"> </v>
      </c>
      <c r="I27" s="1"/>
      <c r="J27" s="1" t="s">
        <v>133</v>
      </c>
      <c r="K27" s="1"/>
      <c r="L27" s="107"/>
      <c r="M27" s="216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</row>
    <row r="28" spans="1:40">
      <c r="A28" s="44">
        <v>14</v>
      </c>
      <c r="B28" s="3"/>
      <c r="C28" s="93" t="s">
        <v>153</v>
      </c>
      <c r="D28" s="1" t="s">
        <v>86</v>
      </c>
      <c r="E28" s="180">
        <f>+'WP6 Rate Base'!Q26</f>
        <v>44835365.358322732</v>
      </c>
      <c r="F28" s="1"/>
      <c r="G28" s="1" t="s">
        <v>46</v>
      </c>
      <c r="H28" s="121">
        <f>+J163</f>
        <v>0.81776800000000005</v>
      </c>
      <c r="I28" s="1"/>
      <c r="J28" s="1">
        <f>+H28*E28</f>
        <v>36664927.058344863</v>
      </c>
      <c r="K28" s="1"/>
      <c r="L28" s="107"/>
      <c r="M28" s="216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</row>
    <row r="29" spans="1:40">
      <c r="A29" s="44">
        <v>15</v>
      </c>
      <c r="B29" s="3"/>
      <c r="C29" s="93" t="s">
        <v>357</v>
      </c>
      <c r="D29" s="1" t="str">
        <f>"See Workpaper 2 (line 48)"</f>
        <v>See Workpaper 2 (line 48)</v>
      </c>
      <c r="E29" s="1">
        <f>'BHP WP2 Capital Additions'!F57</f>
        <v>10417687.208920509</v>
      </c>
      <c r="F29" s="1"/>
      <c r="G29" s="1" t="s">
        <v>46</v>
      </c>
      <c r="H29" s="121">
        <f>H28</f>
        <v>0.81776800000000005</v>
      </c>
      <c r="I29" s="1"/>
      <c r="J29" s="1">
        <f>+H29*E29</f>
        <v>8519251.2334645074</v>
      </c>
      <c r="K29" s="1"/>
      <c r="L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</row>
    <row r="30" spans="1:40">
      <c r="A30" s="44">
        <v>16</v>
      </c>
      <c r="B30" s="3"/>
      <c r="C30" s="93" t="s">
        <v>154</v>
      </c>
      <c r="D30" s="1" t="s">
        <v>87</v>
      </c>
      <c r="E30" s="180">
        <f>+'WP6 Rate Base'!Q27</f>
        <v>172715898.86650965</v>
      </c>
      <c r="F30" s="1"/>
      <c r="G30" s="1" t="s">
        <v>152</v>
      </c>
      <c r="H30" s="121"/>
      <c r="I30" s="1"/>
      <c r="J30" s="1"/>
      <c r="K30" s="1"/>
      <c r="L30" s="107"/>
      <c r="M30" s="216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</row>
    <row r="31" spans="1:40">
      <c r="A31" s="44">
        <v>17</v>
      </c>
      <c r="B31" s="3"/>
      <c r="C31" s="93" t="str">
        <f>+C20</f>
        <v xml:space="preserve">  General &amp; Intangible</v>
      </c>
      <c r="D31" s="1" t="s">
        <v>365</v>
      </c>
      <c r="E31" s="180">
        <f>+'WP6 Rate Base'!Q28</f>
        <v>42254229.758233741</v>
      </c>
      <c r="F31" s="1"/>
      <c r="G31" s="1" t="str">
        <f>+G20</f>
        <v>W/S</v>
      </c>
      <c r="H31" s="121">
        <f>+H20</f>
        <v>0.11180951533606591</v>
      </c>
      <c r="I31" s="1"/>
      <c r="J31" s="1">
        <f>+H31*E31</f>
        <v>4724424.9501668876</v>
      </c>
      <c r="K31" s="1"/>
      <c r="L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</row>
    <row r="32" spans="1:40">
      <c r="A32" s="44">
        <v>18</v>
      </c>
      <c r="B32" s="3"/>
      <c r="C32" s="93" t="s">
        <v>101</v>
      </c>
      <c r="D32" s="1" t="s">
        <v>366</v>
      </c>
      <c r="E32" s="180">
        <f>+'WP6 Rate Base'!Q29</f>
        <v>11315875</v>
      </c>
      <c r="F32" s="1"/>
      <c r="G32" s="1" t="str">
        <f>+G21</f>
        <v>W/S</v>
      </c>
      <c r="H32" s="121">
        <f>+H31</f>
        <v>0.11180951533606591</v>
      </c>
      <c r="I32" s="1"/>
      <c r="J32" s="1">
        <f>+H32*E32</f>
        <v>1265222.4993535047</v>
      </c>
      <c r="K32" s="1"/>
      <c r="L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</row>
    <row r="33" spans="1:40">
      <c r="A33" s="44">
        <v>19</v>
      </c>
      <c r="B33" s="3"/>
      <c r="C33" s="93" t="str">
        <f>+C22</f>
        <v xml:space="preserve">  Communication System</v>
      </c>
      <c r="D33" s="1" t="s">
        <v>367</v>
      </c>
      <c r="E33" s="180">
        <f>+'WP6 Rate Base'!Q30</f>
        <v>2053415.6528535767</v>
      </c>
      <c r="F33" s="1"/>
      <c r="G33" s="1" t="str">
        <f>+G22</f>
        <v>T&amp;D</v>
      </c>
      <c r="H33" s="121">
        <f>+H22</f>
        <v>0.34827214518925953</v>
      </c>
      <c r="I33" s="1"/>
      <c r="J33" s="1">
        <f>+H33*E33</f>
        <v>715147.47438451904</v>
      </c>
      <c r="K33" s="1"/>
      <c r="L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</row>
    <row r="34" spans="1:40" ht="15.75" thickBot="1">
      <c r="A34" s="44">
        <v>20</v>
      </c>
      <c r="B34" s="3"/>
      <c r="C34" s="93" t="str">
        <f>+C23</f>
        <v xml:space="preserve">  Common</v>
      </c>
      <c r="D34" s="1" t="s">
        <v>158</v>
      </c>
      <c r="E34" s="181">
        <f>+'WP6 Rate Base'!R31</f>
        <v>0</v>
      </c>
      <c r="F34" s="1"/>
      <c r="G34" s="1" t="str">
        <f>+G23</f>
        <v>CE</v>
      </c>
      <c r="H34" s="121">
        <f>+H23</f>
        <v>0</v>
      </c>
      <c r="I34" s="1"/>
      <c r="J34" s="4">
        <f>+H34*E34</f>
        <v>0</v>
      </c>
      <c r="K34" s="1"/>
      <c r="L34" s="107"/>
      <c r="M34" s="216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</row>
    <row r="35" spans="1:40">
      <c r="A35" s="44">
        <v>21</v>
      </c>
      <c r="B35" s="3"/>
      <c r="C35" s="93" t="s">
        <v>7</v>
      </c>
      <c r="D35" s="1" t="str">
        <f>"(sum lines "&amp;A27&amp;" - "&amp;A34&amp;")"</f>
        <v>(sum lines 13 - 20)</v>
      </c>
      <c r="E35" s="1">
        <f>SUM(E27:E34)</f>
        <v>533336605.4348402</v>
      </c>
      <c r="F35" s="1"/>
      <c r="G35" s="1"/>
      <c r="H35" s="1"/>
      <c r="I35" s="1"/>
      <c r="J35" s="1">
        <f>SUM(J27:J34)</f>
        <v>51888973.215714283</v>
      </c>
      <c r="K35" s="1"/>
      <c r="L35" s="107"/>
      <c r="M35" s="216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</row>
    <row r="36" spans="1:40">
      <c r="A36" s="44">
        <v>22</v>
      </c>
      <c r="B36" s="3"/>
      <c r="C36" s="3"/>
      <c r="D36" s="1" t="s">
        <v>133</v>
      </c>
      <c r="E36" s="3"/>
      <c r="F36" s="1"/>
      <c r="G36" s="1"/>
      <c r="H36" s="123"/>
      <c r="I36" s="1"/>
      <c r="J36" s="3"/>
      <c r="K36" s="1"/>
      <c r="L36" s="107"/>
      <c r="M36" s="216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</row>
    <row r="37" spans="1:40">
      <c r="A37" s="44">
        <v>23</v>
      </c>
      <c r="B37" s="3"/>
      <c r="C37" s="93" t="s">
        <v>161</v>
      </c>
      <c r="D37" s="1"/>
      <c r="E37" s="1"/>
      <c r="F37" s="1"/>
      <c r="G37" s="1"/>
      <c r="H37" s="1"/>
      <c r="I37" s="1"/>
      <c r="J37" s="1"/>
      <c r="K37" s="1"/>
      <c r="L37" s="107"/>
      <c r="M37" s="216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</row>
    <row r="38" spans="1:40">
      <c r="A38" s="44">
        <v>24</v>
      </c>
      <c r="B38" s="3"/>
      <c r="C38" s="93" t="str">
        <f>+C27</f>
        <v xml:space="preserve">  Production</v>
      </c>
      <c r="D38" s="1" t="str">
        <f>"(line "&amp;A15&amp;" - line "&amp;A27&amp;")"</f>
        <v>(line 1 - line 13)</v>
      </c>
      <c r="E38" s="1">
        <f>E15-E27</f>
        <v>470255992.69000036</v>
      </c>
      <c r="F38" s="1"/>
      <c r="G38" s="1" t="s">
        <v>57</v>
      </c>
      <c r="H38" s="123"/>
      <c r="I38" s="1"/>
      <c r="J38" s="1" t="s">
        <v>133</v>
      </c>
      <c r="K38" s="1"/>
      <c r="L38" s="107"/>
      <c r="M38" s="216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</row>
    <row r="39" spans="1:40">
      <c r="A39" s="44">
        <v>25</v>
      </c>
      <c r="B39" s="3"/>
      <c r="C39" s="93" t="s">
        <v>153</v>
      </c>
      <c r="D39" s="1" t="str">
        <f>"(line "&amp;A16&amp;" - line "&amp;A28&amp;")"</f>
        <v>(line 2 - line 14)</v>
      </c>
      <c r="E39" s="1">
        <f>E16-E28</f>
        <v>253891066.29922062</v>
      </c>
      <c r="F39" s="1"/>
      <c r="G39" s="1" t="s">
        <v>57</v>
      </c>
      <c r="H39" s="121"/>
      <c r="I39" s="1"/>
      <c r="J39" s="1">
        <f>J16-J28</f>
        <v>223607347.23121789</v>
      </c>
      <c r="K39" s="1"/>
      <c r="L39" s="107"/>
      <c r="M39" s="216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</row>
    <row r="40" spans="1:40">
      <c r="A40" s="44">
        <v>26</v>
      </c>
      <c r="B40" s="3"/>
      <c r="C40" s="93" t="str">
        <f>+C17</f>
        <v xml:space="preserve">  New Construction CUS Assets</v>
      </c>
      <c r="D40" s="1" t="str">
        <f>"(line "&amp;A17&amp;" - line "&amp;A29&amp;")"</f>
        <v>(line 3 - line 15)</v>
      </c>
      <c r="E40" s="1">
        <f>E17-E29</f>
        <v>-9617479.9389205091</v>
      </c>
      <c r="F40" s="1"/>
      <c r="G40" s="1" t="s">
        <v>57</v>
      </c>
      <c r="H40" s="121"/>
      <c r="I40" s="1"/>
      <c r="J40" s="50">
        <f>J17-J29</f>
        <v>-7822052.2447097972</v>
      </c>
      <c r="K40" s="1"/>
      <c r="L40" s="107"/>
      <c r="M40" s="216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</row>
    <row r="41" spans="1:40">
      <c r="A41" s="44">
        <v>27</v>
      </c>
      <c r="B41" s="3"/>
      <c r="C41" s="93" t="s">
        <v>354</v>
      </c>
      <c r="D41" s="1" t="s">
        <v>353</v>
      </c>
      <c r="E41" s="1">
        <f>E18</f>
        <v>0</v>
      </c>
      <c r="F41" s="1"/>
      <c r="G41" s="1" t="s">
        <v>57</v>
      </c>
      <c r="H41" s="121"/>
      <c r="I41" s="1"/>
      <c r="J41" s="50">
        <f>J18</f>
        <v>0</v>
      </c>
      <c r="K41" s="1"/>
      <c r="L41" s="107"/>
      <c r="M41" s="216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</row>
    <row r="42" spans="1:40">
      <c r="A42" s="44">
        <v>28</v>
      </c>
      <c r="B42" s="3"/>
      <c r="C42" s="93" t="s">
        <v>234</v>
      </c>
      <c r="D42" s="1" t="str">
        <f>"(line "&amp;A19&amp;" - line "&amp;A30&amp;")"</f>
        <v>(line 5 - line 16)</v>
      </c>
      <c r="E42" s="1">
        <f>E19-E30</f>
        <v>366826047.49999988</v>
      </c>
      <c r="F42" s="1"/>
      <c r="G42" s="1" t="s">
        <v>57</v>
      </c>
      <c r="H42" s="123"/>
      <c r="I42" s="1"/>
      <c r="J42" s="50">
        <f>J19-J30</f>
        <v>0</v>
      </c>
      <c r="K42" s="1"/>
      <c r="L42" s="107"/>
      <c r="M42" s="216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</row>
    <row r="43" spans="1:40">
      <c r="A43" s="44">
        <v>29</v>
      </c>
      <c r="B43" s="3"/>
      <c r="C43" s="93" t="str">
        <f>+C31</f>
        <v xml:space="preserve">  General &amp; Intangible</v>
      </c>
      <c r="D43" s="1" t="str">
        <f>"(line "&amp;A20&amp;" - line "&amp;A31&amp;")"</f>
        <v>(line 6 - line 17)</v>
      </c>
      <c r="E43" s="1">
        <f t="shared" ref="E43:E47" si="0">E20-E31</f>
        <v>28000768.511766255</v>
      </c>
      <c r="F43" s="1"/>
      <c r="G43" s="1" t="s">
        <v>57</v>
      </c>
      <c r="H43" s="123"/>
      <c r="I43" s="1"/>
      <c r="J43" s="1">
        <f>J20-J31</f>
        <v>3130752.3563379608</v>
      </c>
      <c r="K43" s="1"/>
      <c r="L43" s="107"/>
      <c r="M43" s="216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</row>
    <row r="44" spans="1:40">
      <c r="A44" s="44">
        <v>30</v>
      </c>
      <c r="B44" s="3"/>
      <c r="C44" s="93" t="s">
        <v>101</v>
      </c>
      <c r="D44" s="1" t="str">
        <f>"(line "&amp;A21&amp;" - line "&amp;A32&amp;")"</f>
        <v>(line 7 - line 18)</v>
      </c>
      <c r="E44" s="1">
        <f t="shared" si="0"/>
        <v>22830844</v>
      </c>
      <c r="F44" s="1"/>
      <c r="G44" s="1" t="s">
        <v>57</v>
      </c>
      <c r="H44" s="123"/>
      <c r="I44" s="1"/>
      <c r="J44" s="1">
        <f>J21-J32</f>
        <v>2552705.6023533284</v>
      </c>
      <c r="K44" s="1"/>
      <c r="L44" s="107"/>
      <c r="M44" s="216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</row>
    <row r="45" spans="1:40">
      <c r="A45" s="44">
        <v>31</v>
      </c>
      <c r="B45" s="3"/>
      <c r="C45" s="93" t="str">
        <f>+C33</f>
        <v xml:space="preserve">  Communication System</v>
      </c>
      <c r="D45" s="1" t="str">
        <f>"(line "&amp;A22&amp;" - line "&amp;A33&amp;")"</f>
        <v>(line 8 - line 19)</v>
      </c>
      <c r="E45" s="1">
        <f t="shared" si="0"/>
        <v>4778471.537146423</v>
      </c>
      <c r="F45" s="1"/>
      <c r="G45" s="1" t="s">
        <v>57</v>
      </c>
      <c r="H45" s="123"/>
      <c r="I45" s="1"/>
      <c r="J45" s="1">
        <f>J22-J33</f>
        <v>1664208.5329678033</v>
      </c>
      <c r="K45" s="1"/>
      <c r="L45" s="107"/>
      <c r="M45" s="216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</row>
    <row r="46" spans="1:40" ht="15.75" thickBot="1">
      <c r="A46" s="44">
        <v>32</v>
      </c>
      <c r="B46" s="3"/>
      <c r="C46" s="93" t="str">
        <f>+C34</f>
        <v xml:space="preserve">  Common</v>
      </c>
      <c r="D46" s="1" t="str">
        <f>"(line "&amp;A23&amp;" - line "&amp;A34&amp;")"</f>
        <v>(line 9 - line 20)</v>
      </c>
      <c r="E46" s="4">
        <f t="shared" si="0"/>
        <v>0</v>
      </c>
      <c r="F46" s="1"/>
      <c r="G46" s="1" t="s">
        <v>57</v>
      </c>
      <c r="H46" s="123"/>
      <c r="I46" s="1"/>
      <c r="J46" s="4">
        <f>J23-J34</f>
        <v>0</v>
      </c>
      <c r="K46" s="1"/>
      <c r="L46" s="107"/>
      <c r="M46" s="216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</row>
    <row r="47" spans="1:40">
      <c r="A47" s="44">
        <v>33</v>
      </c>
      <c r="B47" s="3"/>
      <c r="C47" s="93" t="s">
        <v>6</v>
      </c>
      <c r="D47" s="1" t="str">
        <f>"(sum lines "&amp;A38&amp;" - "&amp;A46&amp;")"</f>
        <v>(sum lines 24 - 32)</v>
      </c>
      <c r="E47" s="1">
        <f t="shared" si="0"/>
        <v>1136965710.5992131</v>
      </c>
      <c r="F47" s="1"/>
      <c r="G47" s="1" t="s">
        <v>162</v>
      </c>
      <c r="H47" s="123">
        <f>IF(E47&gt;0,+J47/E47,0)</f>
        <v>0.19625302627690488</v>
      </c>
      <c r="I47" s="1"/>
      <c r="J47" s="1">
        <f>SUM(J38:J46)</f>
        <v>223132961.47816721</v>
      </c>
      <c r="K47" s="1"/>
      <c r="L47" s="107"/>
      <c r="M47" s="216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</row>
    <row r="48" spans="1:40">
      <c r="A48" s="44">
        <v>34</v>
      </c>
      <c r="B48" s="3"/>
      <c r="C48" s="3"/>
      <c r="D48" s="1"/>
      <c r="E48" s="50"/>
      <c r="F48" s="1"/>
      <c r="G48" s="3"/>
      <c r="H48" s="3"/>
      <c r="I48" s="1"/>
      <c r="J48" s="3"/>
      <c r="K48" s="1"/>
      <c r="L48" s="107"/>
      <c r="M48" s="216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</row>
    <row r="49" spans="1:40">
      <c r="A49" s="44">
        <v>35</v>
      </c>
      <c r="B49" s="3"/>
      <c r="C49" s="2" t="s">
        <v>28</v>
      </c>
      <c r="D49" s="1" t="s">
        <v>368</v>
      </c>
      <c r="E49" s="1"/>
      <c r="F49" s="1"/>
      <c r="G49" s="1"/>
      <c r="H49" s="1"/>
      <c r="I49" s="1"/>
      <c r="J49" s="1"/>
      <c r="K49" s="1"/>
      <c r="L49" s="107"/>
      <c r="M49" s="216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</row>
    <row r="50" spans="1:40">
      <c r="A50" s="44">
        <v>36</v>
      </c>
      <c r="B50" s="3"/>
      <c r="C50" s="93" t="s">
        <v>207</v>
      </c>
      <c r="D50" s="1" t="s">
        <v>163</v>
      </c>
      <c r="E50" s="182">
        <f>+'WP6 Rate Base'!F50</f>
        <v>0</v>
      </c>
      <c r="F50" s="1"/>
      <c r="G50" s="1" t="str">
        <f>+G27</f>
        <v>NA</v>
      </c>
      <c r="H50" s="124" t="s">
        <v>228</v>
      </c>
      <c r="I50" s="1"/>
      <c r="J50" s="50">
        <v>0</v>
      </c>
      <c r="K50" s="1"/>
      <c r="L50" s="107"/>
      <c r="M50" s="216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</row>
    <row r="51" spans="1:40">
      <c r="A51" s="44">
        <v>37</v>
      </c>
      <c r="B51" s="3"/>
      <c r="C51" s="93" t="s">
        <v>208</v>
      </c>
      <c r="D51" s="1" t="s">
        <v>165</v>
      </c>
      <c r="E51" s="182">
        <f>+'WP6 Rate Base'!F51</f>
        <v>-152726605</v>
      </c>
      <c r="F51" s="1"/>
      <c r="G51" s="1" t="s">
        <v>164</v>
      </c>
      <c r="H51" s="121">
        <f>+H47</f>
        <v>0.19625302627690488</v>
      </c>
      <c r="I51" s="1"/>
      <c r="J51" s="182">
        <v>-31850285</v>
      </c>
      <c r="K51" s="1"/>
      <c r="L51" s="194"/>
      <c r="M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</row>
    <row r="52" spans="1:40">
      <c r="A52" s="44">
        <v>38</v>
      </c>
      <c r="B52" s="3"/>
      <c r="C52" s="93" t="s">
        <v>209</v>
      </c>
      <c r="D52" s="1" t="s">
        <v>166</v>
      </c>
      <c r="E52" s="182">
        <f>+'WP6 Rate Base'!F52</f>
        <v>-17423866</v>
      </c>
      <c r="F52" s="1"/>
      <c r="G52" s="1" t="str">
        <f>+G51</f>
        <v>NP</v>
      </c>
      <c r="H52" s="121">
        <f>H47</f>
        <v>0.19625302627690488</v>
      </c>
      <c r="I52" s="1"/>
      <c r="J52" s="50">
        <f>E52*H52</f>
        <v>-3419486.4319432694</v>
      </c>
      <c r="K52" s="1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</row>
    <row r="53" spans="1:40">
      <c r="A53" s="44">
        <v>39</v>
      </c>
      <c r="B53" s="3"/>
      <c r="C53" s="93" t="s">
        <v>211</v>
      </c>
      <c r="D53" s="1" t="s">
        <v>167</v>
      </c>
      <c r="E53" s="182">
        <f>+'WP6 Rate Base'!F53</f>
        <v>48008895</v>
      </c>
      <c r="F53" s="1"/>
      <c r="G53" s="1" t="str">
        <f>+G52</f>
        <v>NP</v>
      </c>
      <c r="H53" s="121">
        <f>+H52</f>
        <v>0.19625302627690488</v>
      </c>
      <c r="I53" s="1"/>
      <c r="J53" s="50">
        <f>E53*H53</f>
        <v>9421890.9319601674</v>
      </c>
      <c r="K53" s="1"/>
      <c r="L53" s="107"/>
      <c r="M53" s="216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</row>
    <row r="54" spans="1:40">
      <c r="A54" s="44" t="s">
        <v>388</v>
      </c>
      <c r="B54" s="3"/>
      <c r="C54" s="93" t="s">
        <v>389</v>
      </c>
      <c r="D54" s="1" t="s">
        <v>390</v>
      </c>
      <c r="E54" s="50"/>
      <c r="F54" s="1"/>
      <c r="G54" s="1"/>
      <c r="H54" s="121"/>
      <c r="I54" s="1"/>
      <c r="J54" s="182">
        <v>-11617197.453600001</v>
      </c>
      <c r="K54" s="1"/>
      <c r="L54" s="107"/>
      <c r="M54" s="216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</row>
    <row r="55" spans="1:40">
      <c r="A55" s="44">
        <v>40</v>
      </c>
      <c r="B55" s="3"/>
      <c r="C55" s="3" t="s">
        <v>210</v>
      </c>
      <c r="D55" s="3" t="s">
        <v>88</v>
      </c>
      <c r="E55" s="182">
        <f>+'WP6 Rate Base'!F54</f>
        <v>0</v>
      </c>
      <c r="F55" s="1"/>
      <c r="G55" s="1" t="str">
        <f>+G53</f>
        <v>NP</v>
      </c>
      <c r="H55" s="121">
        <f>+H52</f>
        <v>0.19625302627690488</v>
      </c>
      <c r="I55" s="1"/>
      <c r="J55" s="61">
        <f>E55*H55</f>
        <v>0</v>
      </c>
      <c r="K55" s="1"/>
      <c r="L55" s="107"/>
      <c r="M55" s="216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</row>
    <row r="56" spans="1:40" ht="15.75" thickBot="1">
      <c r="A56" s="44">
        <v>41</v>
      </c>
      <c r="B56" s="3"/>
      <c r="C56" s="93" t="s">
        <v>230</v>
      </c>
      <c r="D56" s="3" t="s">
        <v>380</v>
      </c>
      <c r="E56" s="183">
        <f>+'WP6 Rate Base'!F55</f>
        <v>1718283.96</v>
      </c>
      <c r="F56" s="1"/>
      <c r="G56" s="1" t="str">
        <f>+G55</f>
        <v>NP</v>
      </c>
      <c r="H56" s="121">
        <f>+H55</f>
        <v>0.19625302627690488</v>
      </c>
      <c r="I56" s="1"/>
      <c r="J56" s="158">
        <f>+H56*E56</f>
        <v>337218.42715306417</v>
      </c>
      <c r="K56" s="1"/>
      <c r="L56" s="107"/>
      <c r="M56" s="216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</row>
    <row r="57" spans="1:40">
      <c r="A57" s="44">
        <v>42</v>
      </c>
      <c r="B57" s="3"/>
      <c r="C57" s="93" t="s">
        <v>8</v>
      </c>
      <c r="D57" s="1" t="str">
        <f>"(sum lines "&amp;A50&amp;" - "&amp;A56&amp;")"</f>
        <v>(sum lines 36 - 41)</v>
      </c>
      <c r="E57" s="50"/>
      <c r="F57" s="1"/>
      <c r="G57" s="1"/>
      <c r="H57" s="1"/>
      <c r="I57" s="1"/>
      <c r="J57" s="50">
        <f>SUM(J50:J56)</f>
        <v>-37127859.526430041</v>
      </c>
      <c r="K57" s="1"/>
      <c r="L57" s="107"/>
      <c r="M57" s="216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</row>
    <row r="58" spans="1:40">
      <c r="A58" s="44">
        <v>43</v>
      </c>
      <c r="B58" s="3"/>
      <c r="C58" s="3"/>
      <c r="D58" s="1"/>
      <c r="E58" s="3"/>
      <c r="F58" s="1"/>
      <c r="G58" s="1"/>
      <c r="H58" s="123"/>
      <c r="I58" s="1"/>
      <c r="J58" s="3"/>
      <c r="K58" s="1"/>
      <c r="L58" s="107"/>
      <c r="M58" s="216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</row>
    <row r="59" spans="1:40">
      <c r="A59" s="44">
        <v>44</v>
      </c>
      <c r="B59" s="3"/>
      <c r="C59" s="2" t="s">
        <v>168</v>
      </c>
      <c r="D59" s="1" t="s">
        <v>369</v>
      </c>
      <c r="E59" s="182">
        <v>2155556</v>
      </c>
      <c r="F59" s="1"/>
      <c r="G59" s="1" t="s">
        <v>300</v>
      </c>
      <c r="H59" s="121">
        <v>0</v>
      </c>
      <c r="I59" s="1"/>
      <c r="J59" s="1">
        <f>+H59*E59</f>
        <v>0</v>
      </c>
      <c r="K59" s="1"/>
      <c r="L59" s="107"/>
      <c r="M59" s="216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</row>
    <row r="60" spans="1:40">
      <c r="A60" s="44">
        <v>45</v>
      </c>
      <c r="B60" s="3"/>
      <c r="C60" s="93"/>
      <c r="D60" s="1"/>
      <c r="E60" s="1"/>
      <c r="F60" s="1"/>
      <c r="G60" s="1"/>
      <c r="H60" s="1"/>
      <c r="I60" s="1"/>
      <c r="J60" s="1"/>
      <c r="K60" s="1"/>
      <c r="L60" s="107"/>
      <c r="M60" s="216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</row>
    <row r="61" spans="1:40">
      <c r="A61" s="44">
        <v>46</v>
      </c>
      <c r="B61" s="3"/>
      <c r="C61" s="93" t="s">
        <v>235</v>
      </c>
      <c r="D61" s="1" t="s">
        <v>133</v>
      </c>
      <c r="E61" s="1"/>
      <c r="F61" s="1"/>
      <c r="G61" s="1"/>
      <c r="H61" s="1"/>
      <c r="I61" s="1"/>
      <c r="J61" s="1"/>
      <c r="K61" s="1"/>
      <c r="L61" s="107"/>
      <c r="M61" s="216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</row>
    <row r="62" spans="1:40">
      <c r="A62" s="44">
        <v>47</v>
      </c>
      <c r="B62" s="3"/>
      <c r="C62" s="93" t="s">
        <v>227</v>
      </c>
      <c r="D62" s="3" t="str">
        <f>"(1/8 * line "&amp;A91&amp;")"</f>
        <v>(1/8 * line 63)</v>
      </c>
      <c r="E62" s="1">
        <f>+E91/8</f>
        <v>4271201.75</v>
      </c>
      <c r="F62" s="1"/>
      <c r="G62" s="1" t="s">
        <v>57</v>
      </c>
      <c r="H62" s="123"/>
      <c r="I62" s="1"/>
      <c r="J62" s="1">
        <f>+J91/8</f>
        <v>626498.57672503346</v>
      </c>
      <c r="K62" s="93"/>
      <c r="L62" s="107"/>
      <c r="M62" s="216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</row>
    <row r="63" spans="1:40">
      <c r="A63" s="44">
        <v>48</v>
      </c>
      <c r="B63" s="3"/>
      <c r="C63" s="93" t="s">
        <v>271</v>
      </c>
      <c r="D63" s="1" t="s">
        <v>98</v>
      </c>
      <c r="E63" s="180">
        <f>+'WP6 Rate Base'!F62</f>
        <v>7554563</v>
      </c>
      <c r="F63" s="1"/>
      <c r="G63" s="1" t="s">
        <v>95</v>
      </c>
      <c r="H63" s="121">
        <f>+J182</f>
        <v>0.34827214518925953</v>
      </c>
      <c r="I63" s="1"/>
      <c r="J63" s="1">
        <f>+H63*E63</f>
        <v>2631043.8619774082</v>
      </c>
      <c r="K63" s="1" t="s">
        <v>133</v>
      </c>
      <c r="L63" s="107"/>
      <c r="M63" s="216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</row>
    <row r="64" spans="1:40">
      <c r="A64" s="44">
        <v>49</v>
      </c>
      <c r="B64" s="3"/>
      <c r="C64" s="93" t="s">
        <v>271</v>
      </c>
      <c r="D64" s="1" t="s">
        <v>97</v>
      </c>
      <c r="E64" s="180">
        <f>+'WP6 Rate Base'!F63</f>
        <v>258612</v>
      </c>
      <c r="F64" s="1"/>
      <c r="G64" s="1" t="s">
        <v>138</v>
      </c>
      <c r="H64" s="121">
        <f>+J145</f>
        <v>0.87127299999999996</v>
      </c>
      <c r="I64" s="1"/>
      <c r="J64" s="1">
        <f>+H64*E64</f>
        <v>225321.65307599999</v>
      </c>
      <c r="K64" s="1"/>
      <c r="L64" s="107"/>
      <c r="M64" s="216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</row>
    <row r="65" spans="1:40" ht="15.75" thickBot="1">
      <c r="A65" s="44">
        <v>50</v>
      </c>
      <c r="B65" s="3"/>
      <c r="C65" s="93" t="s">
        <v>212</v>
      </c>
      <c r="D65" s="1" t="s">
        <v>40</v>
      </c>
      <c r="E65" s="184">
        <f>+'WP6 Rate Base'!F64</f>
        <v>4086489</v>
      </c>
      <c r="F65" s="1"/>
      <c r="G65" s="1" t="s">
        <v>169</v>
      </c>
      <c r="H65" s="121">
        <f>+H24</f>
        <v>0.16465398631960856</v>
      </c>
      <c r="I65" s="1"/>
      <c r="J65" s="4">
        <f>+H65*E65</f>
        <v>672856.70390123082</v>
      </c>
      <c r="K65" s="1"/>
      <c r="L65" s="107"/>
      <c r="M65" s="216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</row>
    <row r="66" spans="1:40">
      <c r="A66" s="44">
        <v>51</v>
      </c>
      <c r="B66" s="3"/>
      <c r="C66" s="93" t="s">
        <v>9</v>
      </c>
      <c r="D66" s="1" t="str">
        <f>"(sum lines "&amp;A62&amp;" - "&amp;A65&amp;")"</f>
        <v>(sum lines 47 - 50)</v>
      </c>
      <c r="E66" s="1">
        <f>SUM(E62:E65)</f>
        <v>16170865.75</v>
      </c>
      <c r="F66" s="93"/>
      <c r="G66" s="93"/>
      <c r="H66" s="93"/>
      <c r="I66" s="93"/>
      <c r="J66" s="1">
        <f>SUM(J62:J65)</f>
        <v>4155720.7956796726</v>
      </c>
      <c r="K66" s="93"/>
      <c r="L66" s="107"/>
      <c r="M66" s="216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</row>
    <row r="67" spans="1:40" ht="15.75" thickBot="1">
      <c r="A67" s="44">
        <v>52</v>
      </c>
      <c r="B67" s="3"/>
      <c r="C67" s="3"/>
      <c r="D67" s="1"/>
      <c r="E67" s="3"/>
      <c r="F67" s="1"/>
      <c r="G67" s="1"/>
      <c r="H67" s="1"/>
      <c r="I67" s="1"/>
      <c r="J67" s="126"/>
      <c r="K67" s="1"/>
      <c r="L67" s="107"/>
      <c r="M67" s="216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</row>
    <row r="68" spans="1:40" ht="15.75" thickBot="1">
      <c r="A68" s="44">
        <v>53</v>
      </c>
      <c r="B68" s="3"/>
      <c r="C68" s="93" t="s">
        <v>10</v>
      </c>
      <c r="D68" s="1" t="str">
        <f>"(sum lines "&amp;A47&amp;", "&amp;A57&amp;", "&amp;A59&amp;", &amp; "&amp;A66&amp;")"</f>
        <v>(sum lines 33, 42, 44, &amp; 51)</v>
      </c>
      <c r="E68" s="1"/>
      <c r="F68" s="1"/>
      <c r="G68" s="1"/>
      <c r="H68" s="123"/>
      <c r="I68" s="1"/>
      <c r="J68" s="159">
        <f>+J66+J59+J57+J47</f>
        <v>190160822.74741685</v>
      </c>
      <c r="K68" s="1"/>
      <c r="L68" s="107"/>
      <c r="M68" s="216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</row>
    <row r="69" spans="1:40" ht="15.75" thickTop="1">
      <c r="A69" s="44"/>
      <c r="B69" s="3"/>
      <c r="C69" s="93"/>
      <c r="D69" s="1"/>
      <c r="E69" s="1"/>
      <c r="F69" s="1"/>
      <c r="G69" s="1"/>
      <c r="H69" s="123"/>
      <c r="I69" s="106" t="s">
        <v>320</v>
      </c>
      <c r="J69" s="127">
        <f>J1</f>
        <v>45565</v>
      </c>
      <c r="K69" s="1"/>
      <c r="L69" s="107"/>
      <c r="M69" s="216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</row>
    <row r="70" spans="1:40">
      <c r="A70" s="44"/>
      <c r="B70" s="3"/>
      <c r="C70" s="93"/>
      <c r="D70" s="1"/>
      <c r="E70" s="1"/>
      <c r="F70" s="1"/>
      <c r="G70" s="1"/>
      <c r="H70" s="273"/>
      <c r="I70" s="106" t="str">
        <f>$I$2</f>
        <v>Service Year</v>
      </c>
      <c r="J70" s="93">
        <f>$J$2</f>
        <v>2025</v>
      </c>
      <c r="K70" s="273"/>
      <c r="L70" s="107"/>
      <c r="M70" s="216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</row>
    <row r="71" spans="1:40">
      <c r="A71" s="44"/>
      <c r="B71" s="3"/>
      <c r="C71" s="93"/>
      <c r="D71" s="1"/>
      <c r="E71" s="1"/>
      <c r="F71" s="1"/>
      <c r="G71" s="1"/>
      <c r="H71" s="1"/>
      <c r="I71" s="1"/>
      <c r="J71" s="1"/>
      <c r="K71" s="1"/>
      <c r="L71" s="107"/>
      <c r="M71" s="216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</row>
    <row r="72" spans="1:40" ht="15.75">
      <c r="A72" s="249" t="s">
        <v>238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107"/>
      <c r="M72" s="216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</row>
    <row r="73" spans="1:40" ht="15.75">
      <c r="A73" s="250" t="s">
        <v>134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107"/>
      <c r="M73" s="216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</row>
    <row r="74" spans="1:40">
      <c r="A74" s="3"/>
      <c r="B74" s="3"/>
      <c r="C74" s="93"/>
      <c r="D74" s="93"/>
      <c r="E74" s="273"/>
      <c r="F74" s="93"/>
      <c r="G74" s="93"/>
      <c r="H74" s="93"/>
      <c r="I74" s="93"/>
      <c r="J74" s="93"/>
      <c r="K74" s="93"/>
      <c r="L74" s="107"/>
      <c r="M74" s="216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</row>
    <row r="75" spans="1:40" ht="15.75">
      <c r="A75" s="248" t="s">
        <v>237</v>
      </c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107"/>
      <c r="M75" s="216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</row>
    <row r="76" spans="1:40">
      <c r="A76" s="44"/>
      <c r="B76" s="3"/>
      <c r="C76" s="111" t="s">
        <v>139</v>
      </c>
      <c r="D76" s="111" t="s">
        <v>140</v>
      </c>
      <c r="E76" s="111" t="s">
        <v>141</v>
      </c>
      <c r="F76" s="1" t="s">
        <v>133</v>
      </c>
      <c r="G76" s="1"/>
      <c r="H76" s="112" t="s">
        <v>142</v>
      </c>
      <c r="I76" s="1"/>
      <c r="J76" s="113" t="s">
        <v>143</v>
      </c>
      <c r="K76" s="1"/>
      <c r="L76" s="107"/>
      <c r="M76" s="216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</row>
    <row r="77" spans="1:40">
      <c r="A77" s="44"/>
      <c r="B77" s="3"/>
      <c r="C77" s="111"/>
      <c r="D77" s="2"/>
      <c r="E77" s="2"/>
      <c r="F77" s="2"/>
      <c r="G77" s="2"/>
      <c r="H77" s="2"/>
      <c r="I77" s="2"/>
      <c r="J77" s="2"/>
      <c r="K77" s="2"/>
      <c r="L77" s="107"/>
      <c r="M77" s="216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</row>
    <row r="78" spans="1:40" ht="15.75">
      <c r="A78" s="44" t="s">
        <v>135</v>
      </c>
      <c r="B78" s="3"/>
      <c r="C78" s="93"/>
      <c r="D78" s="109" t="s">
        <v>144</v>
      </c>
      <c r="E78" s="1"/>
      <c r="F78" s="1"/>
      <c r="G78" s="116" t="str">
        <f>+G10</f>
        <v xml:space="preserve">      Allocator</v>
      </c>
      <c r="H78" s="44"/>
      <c r="I78" s="1"/>
      <c r="J78" s="108" t="s">
        <v>145</v>
      </c>
      <c r="K78" s="1"/>
      <c r="L78" s="107"/>
      <c r="M78" s="216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</row>
    <row r="79" spans="1:40" ht="16.5" thickBot="1">
      <c r="A79" s="119" t="s">
        <v>136</v>
      </c>
      <c r="B79" s="3"/>
      <c r="C79" s="93"/>
      <c r="D79" s="115" t="s">
        <v>146</v>
      </c>
      <c r="E79" s="108" t="s">
        <v>147</v>
      </c>
      <c r="F79" s="116"/>
      <c r="G79" s="117" t="str">
        <f>+G11</f>
        <v xml:space="preserve">        (page 4)</v>
      </c>
      <c r="H79" s="3"/>
      <c r="I79" s="116"/>
      <c r="J79" s="44" t="s">
        <v>148</v>
      </c>
      <c r="K79" s="1"/>
      <c r="L79" s="107"/>
      <c r="M79" s="216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</row>
    <row r="80" spans="1:40" ht="15.75">
      <c r="A80" s="3"/>
      <c r="B80" s="3"/>
      <c r="C80" s="93"/>
      <c r="D80" s="1"/>
      <c r="E80" s="128"/>
      <c r="F80" s="129"/>
      <c r="G80" s="130"/>
      <c r="H80" s="3"/>
      <c r="I80" s="129"/>
      <c r="J80" s="128"/>
      <c r="K80" s="1"/>
      <c r="L80" s="107"/>
      <c r="M80" s="216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</row>
    <row r="81" spans="1:40">
      <c r="A81" s="44"/>
      <c r="B81" s="3"/>
      <c r="C81" s="93" t="s">
        <v>170</v>
      </c>
      <c r="D81" s="1"/>
      <c r="E81" s="1"/>
      <c r="F81" s="1"/>
      <c r="G81" s="1"/>
      <c r="H81" s="1"/>
      <c r="I81" s="1"/>
      <c r="J81" s="1"/>
      <c r="K81" s="1"/>
      <c r="L81" s="107"/>
      <c r="M81" s="216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</row>
    <row r="82" spans="1:40" ht="15.75">
      <c r="A82" s="44">
        <f>+A68+1</f>
        <v>54</v>
      </c>
      <c r="B82" s="3"/>
      <c r="C82" s="93" t="s">
        <v>171</v>
      </c>
      <c r="D82" s="1" t="s">
        <v>102</v>
      </c>
      <c r="E82" s="182">
        <v>31788890</v>
      </c>
      <c r="F82" s="1"/>
      <c r="G82" s="1" t="s">
        <v>138</v>
      </c>
      <c r="H82" s="121">
        <f>+J145</f>
        <v>0.87127299999999996</v>
      </c>
      <c r="I82" s="1"/>
      <c r="J82" s="1">
        <f>+H82*E82</f>
        <v>27696801.55697</v>
      </c>
      <c r="K82" s="93"/>
      <c r="L82" s="107"/>
      <c r="M82" s="215"/>
      <c r="N82" s="194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</row>
    <row r="83" spans="1:40" ht="15.75">
      <c r="A83" s="44">
        <f>+A82+1</f>
        <v>55</v>
      </c>
      <c r="B83" s="3"/>
      <c r="C83" s="93" t="s">
        <v>36</v>
      </c>
      <c r="D83" s="1" t="s">
        <v>322</v>
      </c>
      <c r="E83" s="182">
        <v>29672316</v>
      </c>
      <c r="F83" s="1"/>
      <c r="G83" s="1" t="str">
        <f>+G82</f>
        <v>TP</v>
      </c>
      <c r="H83" s="121">
        <f>+H82</f>
        <v>0.87127299999999996</v>
      </c>
      <c r="I83" s="1"/>
      <c r="J83" s="1">
        <f t="shared" ref="J83:J90" si="1">+H83*E83</f>
        <v>25852687.778267998</v>
      </c>
      <c r="K83" s="93"/>
      <c r="L83" s="107"/>
      <c r="M83" s="215"/>
      <c r="N83" s="194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</row>
    <row r="84" spans="1:40" ht="15.75">
      <c r="A84" s="44">
        <f>+A83+1</f>
        <v>56</v>
      </c>
      <c r="B84" s="3"/>
      <c r="C84" s="93" t="s">
        <v>172</v>
      </c>
      <c r="D84" s="1" t="s">
        <v>89</v>
      </c>
      <c r="E84" s="182">
        <v>33885060</v>
      </c>
      <c r="F84" s="1"/>
      <c r="G84" s="1" t="s">
        <v>156</v>
      </c>
      <c r="H84" s="121">
        <f>+H31</f>
        <v>0.11180951533606591</v>
      </c>
      <c r="I84" s="1"/>
      <c r="J84" s="1">
        <f t="shared" si="1"/>
        <v>3788672.1357335136</v>
      </c>
      <c r="K84" s="1"/>
      <c r="L84" s="107"/>
      <c r="M84" s="215"/>
      <c r="N84" s="194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</row>
    <row r="85" spans="1:40" ht="15.75">
      <c r="A85" s="44">
        <f>+A84+1</f>
        <v>57</v>
      </c>
      <c r="B85" s="3"/>
      <c r="C85" s="93" t="s">
        <v>33</v>
      </c>
      <c r="D85" s="1" t="s">
        <v>99</v>
      </c>
      <c r="E85" s="182">
        <v>468323</v>
      </c>
      <c r="F85" s="1"/>
      <c r="G85" s="1" t="s">
        <v>156</v>
      </c>
      <c r="H85" s="121">
        <v>1</v>
      </c>
      <c r="I85" s="1"/>
      <c r="J85" s="1">
        <f t="shared" si="1"/>
        <v>468323</v>
      </c>
      <c r="K85" s="1"/>
      <c r="L85" s="107"/>
      <c r="M85" s="215"/>
      <c r="N85" s="194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</row>
    <row r="86" spans="1:40" ht="15.75">
      <c r="A86" s="44">
        <f>+A85+1</f>
        <v>58</v>
      </c>
      <c r="B86" s="3"/>
      <c r="C86" s="93" t="s">
        <v>231</v>
      </c>
      <c r="D86" s="1" t="s">
        <v>118</v>
      </c>
      <c r="E86" s="182">
        <v>227200</v>
      </c>
      <c r="F86" s="1"/>
      <c r="G86" s="1" t="str">
        <f>G84</f>
        <v>W/S</v>
      </c>
      <c r="H86" s="121">
        <f>H84</f>
        <v>0.11180951533606591</v>
      </c>
      <c r="I86" s="1"/>
      <c r="J86" s="1">
        <f t="shared" si="1"/>
        <v>25403.121884354176</v>
      </c>
      <c r="K86" s="1"/>
      <c r="L86" s="107"/>
      <c r="M86" s="215"/>
      <c r="N86" s="194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</row>
    <row r="87" spans="1:40" ht="15.75">
      <c r="A87" s="44">
        <f t="shared" ref="A87:A123" si="2">+A86+1</f>
        <v>59</v>
      </c>
      <c r="B87" s="3"/>
      <c r="C87" s="93" t="s">
        <v>232</v>
      </c>
      <c r="D87" s="1" t="s">
        <v>119</v>
      </c>
      <c r="E87" s="182">
        <v>347830</v>
      </c>
      <c r="F87" s="1"/>
      <c r="G87" s="1" t="str">
        <f>+G86</f>
        <v>W/S</v>
      </c>
      <c r="H87" s="121">
        <f>+H86</f>
        <v>0.11180951533606591</v>
      </c>
      <c r="I87" s="1"/>
      <c r="J87" s="1">
        <f t="shared" si="1"/>
        <v>38890.703719343808</v>
      </c>
      <c r="K87" s="1"/>
      <c r="L87" s="107"/>
      <c r="M87" s="215"/>
      <c r="N87" s="194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</row>
    <row r="88" spans="1:40" ht="15.75">
      <c r="A88" s="44">
        <f t="shared" si="2"/>
        <v>60</v>
      </c>
      <c r="B88" s="3"/>
      <c r="C88" s="93" t="s">
        <v>35</v>
      </c>
      <c r="D88" s="1"/>
      <c r="E88" s="182">
        <v>1243067</v>
      </c>
      <c r="F88" s="1"/>
      <c r="G88" s="1" t="str">
        <f>G84</f>
        <v>W/S</v>
      </c>
      <c r="H88" s="121">
        <f>H84</f>
        <v>0.11180951533606591</v>
      </c>
      <c r="I88" s="1"/>
      <c r="J88" s="1">
        <f t="shared" si="1"/>
        <v>138986.71880025745</v>
      </c>
      <c r="K88" s="1"/>
      <c r="L88" s="107"/>
      <c r="M88" s="215"/>
      <c r="N88" s="194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</row>
    <row r="89" spans="1:40">
      <c r="A89" s="44">
        <f t="shared" si="2"/>
        <v>61</v>
      </c>
      <c r="B89" s="3"/>
      <c r="C89" s="93" t="s">
        <v>34</v>
      </c>
      <c r="D89" s="1" t="s">
        <v>370</v>
      </c>
      <c r="E89" s="1">
        <v>0</v>
      </c>
      <c r="F89" s="1"/>
      <c r="G89" s="160" t="str">
        <f>+G82</f>
        <v>TP</v>
      </c>
      <c r="H89" s="121">
        <f>+H82</f>
        <v>0.87127299999999996</v>
      </c>
      <c r="I89" s="1"/>
      <c r="J89" s="1">
        <f>+H89*E89</f>
        <v>0</v>
      </c>
      <c r="K89" s="1"/>
      <c r="L89" s="107"/>
      <c r="M89" s="216"/>
      <c r="N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</row>
    <row r="90" spans="1:40" ht="16.5" thickBot="1">
      <c r="A90" s="44">
        <f t="shared" si="2"/>
        <v>62</v>
      </c>
      <c r="B90" s="3"/>
      <c r="C90" s="93" t="s">
        <v>157</v>
      </c>
      <c r="D90" s="1" t="str">
        <f>+D34</f>
        <v>356.1</v>
      </c>
      <c r="E90" s="181">
        <v>0</v>
      </c>
      <c r="F90" s="1"/>
      <c r="G90" s="1" t="s">
        <v>189</v>
      </c>
      <c r="H90" s="121">
        <f>+H34</f>
        <v>0</v>
      </c>
      <c r="I90" s="1"/>
      <c r="J90" s="4">
        <f t="shared" si="1"/>
        <v>0</v>
      </c>
      <c r="K90" s="1"/>
      <c r="L90" s="131"/>
      <c r="M90" s="215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</row>
    <row r="91" spans="1:40">
      <c r="A91" s="44">
        <f t="shared" si="2"/>
        <v>63</v>
      </c>
      <c r="B91" s="3"/>
      <c r="C91" s="93" t="str">
        <f>"TOTAL O&amp;M   (sum lines "&amp;A82&amp;", "&amp;A84&amp;", "&amp;A86&amp;", "&amp;A89&amp;", "&amp;A90&amp;" less lines "&amp;A83&amp;", "&amp;A85&amp;", "&amp;A87&amp;" , "&amp;A88&amp;")"</f>
        <v>TOTAL O&amp;M   (sum lines 54, 56, 58, 61, 62 less lines 55, 57, 59 , 60)</v>
      </c>
      <c r="D91" s="1"/>
      <c r="E91" s="1">
        <f>+E82-E83+E84-E85-E88+E90+E89+E86-E87</f>
        <v>34169614</v>
      </c>
      <c r="F91" s="1"/>
      <c r="G91" s="1"/>
      <c r="H91" s="1"/>
      <c r="I91" s="1"/>
      <c r="J91" s="1">
        <f>+J82-J83+J84-J85-J88+J90+J89+J86-J87</f>
        <v>5011988.6138002677</v>
      </c>
      <c r="K91" s="1"/>
      <c r="L91" s="107"/>
      <c r="M91" s="216"/>
      <c r="N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</row>
    <row r="92" spans="1:40">
      <c r="A92" s="44">
        <f t="shared" si="2"/>
        <v>64</v>
      </c>
      <c r="B92" s="3"/>
      <c r="C92" s="3"/>
      <c r="D92" s="1"/>
      <c r="E92" s="3"/>
      <c r="F92" s="1"/>
      <c r="G92" s="1"/>
      <c r="H92" s="1"/>
      <c r="I92" s="1"/>
      <c r="J92" s="3"/>
      <c r="K92" s="1"/>
      <c r="L92" s="107"/>
      <c r="M92" s="216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</row>
    <row r="93" spans="1:40">
      <c r="A93" s="44">
        <f t="shared" si="2"/>
        <v>65</v>
      </c>
      <c r="B93" s="3"/>
      <c r="C93" s="93" t="s">
        <v>123</v>
      </c>
      <c r="D93" s="1"/>
      <c r="E93" s="1"/>
      <c r="F93" s="1"/>
      <c r="G93" s="1"/>
      <c r="H93" s="1"/>
      <c r="I93" s="1"/>
      <c r="J93" s="1"/>
      <c r="K93" s="1"/>
      <c r="L93" s="107"/>
      <c r="M93" s="216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</row>
    <row r="94" spans="1:40">
      <c r="A94" s="44">
        <f t="shared" si="2"/>
        <v>66</v>
      </c>
      <c r="B94" s="3"/>
      <c r="C94" s="93" t="str">
        <f>+C16</f>
        <v xml:space="preserve">  Transmission</v>
      </c>
      <c r="D94" s="1" t="s">
        <v>323</v>
      </c>
      <c r="E94" s="182">
        <f>+E16*'BHP WP5 Depreciation Rates'!H21</f>
        <v>6930453.2144550057</v>
      </c>
      <c r="F94" s="1"/>
      <c r="G94" s="1" t="s">
        <v>138</v>
      </c>
      <c r="H94" s="121">
        <f>+J145</f>
        <v>0.87127299999999996</v>
      </c>
      <c r="I94" s="1"/>
      <c r="J94" s="1">
        <f>+H94*E94</f>
        <v>6038316.7635178557</v>
      </c>
      <c r="K94" s="1"/>
      <c r="L94" s="107"/>
      <c r="M94" s="216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</row>
    <row r="95" spans="1:40">
      <c r="A95" s="44">
        <f t="shared" si="2"/>
        <v>67</v>
      </c>
      <c r="B95" s="3"/>
      <c r="C95" s="93" t="str">
        <f>+C17</f>
        <v xml:space="preserve">  New Construction CUS Assets</v>
      </c>
      <c r="D95" s="93" t="s">
        <v>358</v>
      </c>
      <c r="E95" s="182">
        <f>'BHP WP2 Capital Additions'!F22</f>
        <v>18564.808664</v>
      </c>
      <c r="F95" s="1"/>
      <c r="G95" s="1" t="s">
        <v>138</v>
      </c>
      <c r="H95" s="121">
        <f>H94</f>
        <v>0.87127299999999996</v>
      </c>
      <c r="I95" s="1"/>
      <c r="J95" s="1">
        <f>+H95*E95</f>
        <v>16175.016539109272</v>
      </c>
      <c r="K95" s="1"/>
      <c r="L95" s="107"/>
      <c r="M95" s="216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</row>
    <row r="96" spans="1:40">
      <c r="A96" s="44">
        <f t="shared" si="2"/>
        <v>68</v>
      </c>
      <c r="B96" s="3"/>
      <c r="C96" s="93" t="str">
        <f>+C18</f>
        <v xml:space="preserve">  New Construction CUS Assets</v>
      </c>
      <c r="D96" s="93" t="s">
        <v>359</v>
      </c>
      <c r="E96" s="182">
        <f>'BHP WP3 Capital Additions'!F27</f>
        <v>0</v>
      </c>
      <c r="F96" s="1"/>
      <c r="G96" s="1" t="s">
        <v>138</v>
      </c>
      <c r="H96" s="121">
        <f>H95</f>
        <v>0.87127299999999996</v>
      </c>
      <c r="I96" s="1"/>
      <c r="J96" s="1">
        <f>+H96*E96</f>
        <v>0</v>
      </c>
      <c r="K96" s="1"/>
      <c r="L96" s="107"/>
      <c r="M96" s="216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</row>
    <row r="97" spans="1:40">
      <c r="A97" s="44">
        <f t="shared" si="2"/>
        <v>69</v>
      </c>
      <c r="B97" s="3"/>
      <c r="C97" s="93" t="s">
        <v>233</v>
      </c>
      <c r="D97" s="1" t="s">
        <v>324</v>
      </c>
      <c r="E97" s="182">
        <f>(E20+E22)*'BHP WP5 Depreciation Rates'!H35</f>
        <v>5033773.6205379991</v>
      </c>
      <c r="F97" s="1"/>
      <c r="G97" s="1" t="s">
        <v>156</v>
      </c>
      <c r="H97" s="121">
        <f>H84</f>
        <v>0.11180951533606591</v>
      </c>
      <c r="I97" s="1"/>
      <c r="J97" s="1">
        <f>+H97*E97</f>
        <v>562823.7888238274</v>
      </c>
      <c r="K97" s="1"/>
      <c r="L97" s="107"/>
      <c r="M97" s="216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</row>
    <row r="98" spans="1:40" ht="15.75" thickBot="1">
      <c r="A98" s="44">
        <f t="shared" si="2"/>
        <v>70</v>
      </c>
      <c r="B98" s="3"/>
      <c r="C98" s="93" t="str">
        <f>+C90</f>
        <v xml:space="preserve">  Common</v>
      </c>
      <c r="D98" s="1" t="s">
        <v>90</v>
      </c>
      <c r="E98" s="183">
        <v>0</v>
      </c>
      <c r="F98" s="1"/>
      <c r="G98" s="1" t="s">
        <v>189</v>
      </c>
      <c r="H98" s="121">
        <f>+H90</f>
        <v>0</v>
      </c>
      <c r="I98" s="1"/>
      <c r="J98" s="4">
        <f>+H98*E98</f>
        <v>0</v>
      </c>
      <c r="K98" s="1"/>
      <c r="L98" s="107"/>
      <c r="M98" s="216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</row>
    <row r="99" spans="1:40">
      <c r="A99" s="44">
        <f t="shared" si="2"/>
        <v>71</v>
      </c>
      <c r="B99" s="3"/>
      <c r="C99" s="93" t="str">
        <f>"TOTAL DEPRECIATION (Sum lines "&amp;A94&amp;" - "&amp;A98&amp;")"</f>
        <v>TOTAL DEPRECIATION (Sum lines 66 - 70)</v>
      </c>
      <c r="D99" s="1"/>
      <c r="E99" s="185">
        <f>SUM(E94:E98)</f>
        <v>11982791.643657004</v>
      </c>
      <c r="F99" s="1"/>
      <c r="G99" s="1"/>
      <c r="H99" s="1"/>
      <c r="I99" s="1"/>
      <c r="J99" s="1">
        <f>SUM(J94:J98)</f>
        <v>6617315.5688807918</v>
      </c>
      <c r="K99" s="1"/>
      <c r="L99" s="107"/>
      <c r="M99" s="216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</row>
    <row r="100" spans="1:40">
      <c r="A100" s="44">
        <f t="shared" si="2"/>
        <v>72</v>
      </c>
      <c r="B100" s="3"/>
      <c r="C100" s="93"/>
      <c r="D100" s="1"/>
      <c r="E100" s="50"/>
      <c r="F100" s="1"/>
      <c r="G100" s="1"/>
      <c r="H100" s="1"/>
      <c r="I100" s="1"/>
      <c r="J100" s="1"/>
      <c r="K100" s="1"/>
      <c r="L100" s="107"/>
      <c r="M100" s="216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</row>
    <row r="101" spans="1:40">
      <c r="A101" s="44">
        <f t="shared" si="2"/>
        <v>73</v>
      </c>
      <c r="B101" s="3"/>
      <c r="C101" s="93" t="s">
        <v>55</v>
      </c>
      <c r="D101" s="3"/>
      <c r="E101" s="1"/>
      <c r="F101" s="1"/>
      <c r="G101" s="1"/>
      <c r="H101" s="1"/>
      <c r="I101" s="1"/>
      <c r="J101" s="1"/>
      <c r="K101" s="1"/>
      <c r="L101" s="107"/>
      <c r="M101" s="216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</row>
    <row r="102" spans="1:40">
      <c r="A102" s="44">
        <f t="shared" si="2"/>
        <v>74</v>
      </c>
      <c r="B102" s="3"/>
      <c r="C102" s="93" t="s">
        <v>173</v>
      </c>
      <c r="D102" s="3"/>
      <c r="E102" s="161"/>
      <c r="F102" s="1"/>
      <c r="G102" s="1"/>
      <c r="H102" s="3"/>
      <c r="I102" s="1"/>
      <c r="J102" s="3"/>
      <c r="K102" s="1"/>
      <c r="L102" s="107"/>
      <c r="M102" s="216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</row>
    <row r="103" spans="1:40" ht="15.75">
      <c r="A103" s="44">
        <f t="shared" si="2"/>
        <v>75</v>
      </c>
      <c r="B103" s="3"/>
      <c r="C103" s="93" t="s">
        <v>174</v>
      </c>
      <c r="D103" s="1" t="s">
        <v>325</v>
      </c>
      <c r="E103" s="182">
        <v>1993550</v>
      </c>
      <c r="F103" s="1"/>
      <c r="G103" s="1" t="s">
        <v>156</v>
      </c>
      <c r="H103" s="132">
        <f>+J177</f>
        <v>0.11180951533606591</v>
      </c>
      <c r="I103" s="1"/>
      <c r="J103" s="1">
        <f>+H103*E103</f>
        <v>222897.8592982142</v>
      </c>
      <c r="K103" s="1"/>
      <c r="L103" s="107"/>
      <c r="M103" s="215"/>
      <c r="N103" s="194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</row>
    <row r="104" spans="1:40">
      <c r="A104" s="44">
        <f t="shared" si="2"/>
        <v>76</v>
      </c>
      <c r="B104" s="3"/>
      <c r="C104" s="93" t="s">
        <v>175</v>
      </c>
      <c r="D104" s="1" t="s">
        <v>41</v>
      </c>
      <c r="E104" s="180">
        <v>0</v>
      </c>
      <c r="F104" s="1"/>
      <c r="G104" s="1" t="str">
        <f>+G103</f>
        <v>W/S</v>
      </c>
      <c r="H104" s="132">
        <f>+H103</f>
        <v>0.11180951533606591</v>
      </c>
      <c r="I104" s="1"/>
      <c r="J104" s="1">
        <f>+H104*E104</f>
        <v>0</v>
      </c>
      <c r="K104" s="1"/>
      <c r="L104" s="107"/>
      <c r="M104" s="216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</row>
    <row r="105" spans="1:40">
      <c r="A105" s="44">
        <f t="shared" si="2"/>
        <v>77</v>
      </c>
      <c r="B105" s="3"/>
      <c r="C105" s="93" t="s">
        <v>176</v>
      </c>
      <c r="D105" s="1" t="s">
        <v>133</v>
      </c>
      <c r="E105" s="1"/>
      <c r="F105" s="1"/>
      <c r="G105" s="1"/>
      <c r="H105" s="3"/>
      <c r="I105" s="1"/>
      <c r="J105" s="3"/>
      <c r="K105" s="1"/>
      <c r="L105" s="107"/>
      <c r="M105" s="216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</row>
    <row r="106" spans="1:40">
      <c r="A106" s="44">
        <f t="shared" si="2"/>
        <v>78</v>
      </c>
      <c r="B106" s="3"/>
      <c r="C106" s="93" t="s">
        <v>177</v>
      </c>
      <c r="D106" s="1" t="s">
        <v>326</v>
      </c>
      <c r="E106" s="182">
        <v>8173908</v>
      </c>
      <c r="F106" s="1"/>
      <c r="G106" s="1" t="s">
        <v>169</v>
      </c>
      <c r="H106" s="132">
        <f>+H24</f>
        <v>0.16465398631960856</v>
      </c>
      <c r="I106" s="1"/>
      <c r="J106" s="1">
        <f>+H106*E106</f>
        <v>1345866.5360097389</v>
      </c>
      <c r="K106" s="1"/>
      <c r="L106" s="107"/>
      <c r="N106" s="194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</row>
    <row r="107" spans="1:40">
      <c r="A107" s="44">
        <f t="shared" si="2"/>
        <v>79</v>
      </c>
      <c r="B107" s="3"/>
      <c r="C107" s="93" t="s">
        <v>178</v>
      </c>
      <c r="D107" s="1" t="s">
        <v>41</v>
      </c>
      <c r="E107" s="180">
        <v>0</v>
      </c>
      <c r="F107" s="1"/>
      <c r="G107" s="1" t="str">
        <f>+G50</f>
        <v>NA</v>
      </c>
      <c r="H107" s="133" t="s">
        <v>228</v>
      </c>
      <c r="I107" s="1"/>
      <c r="J107" s="1">
        <v>0</v>
      </c>
      <c r="K107" s="1"/>
      <c r="L107" s="107"/>
      <c r="M107" s="216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</row>
    <row r="108" spans="1:40" ht="15.75" thickBot="1">
      <c r="A108" s="44">
        <f t="shared" si="2"/>
        <v>80</v>
      </c>
      <c r="B108" s="3"/>
      <c r="C108" s="93" t="s">
        <v>179</v>
      </c>
      <c r="D108" s="1" t="str">
        <f>+D107</f>
        <v>263.i</v>
      </c>
      <c r="E108" s="181">
        <v>0</v>
      </c>
      <c r="F108" s="1"/>
      <c r="G108" s="1" t="str">
        <f>+G106</f>
        <v>GP</v>
      </c>
      <c r="H108" s="132">
        <f>+H106</f>
        <v>0.16465398631960856</v>
      </c>
      <c r="I108" s="1"/>
      <c r="J108" s="4">
        <f>+H108*E108</f>
        <v>0</v>
      </c>
      <c r="K108" s="1"/>
      <c r="L108" s="107"/>
      <c r="M108" s="216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</row>
    <row r="109" spans="1:40">
      <c r="A109" s="44">
        <f t="shared" si="2"/>
        <v>81</v>
      </c>
      <c r="B109" s="3"/>
      <c r="C109" s="93" t="str">
        <f>"TOTAL OTHER TAXES  (sum lines "&amp;A103&amp;" - "&amp;A108&amp;")"</f>
        <v>TOTAL OTHER TAXES  (sum lines 75 - 80)</v>
      </c>
      <c r="D109" s="1"/>
      <c r="E109" s="1">
        <f>SUM(E103:E108)</f>
        <v>10167458</v>
      </c>
      <c r="F109" s="1"/>
      <c r="G109" s="1"/>
      <c r="H109" s="132"/>
      <c r="I109" s="1"/>
      <c r="J109" s="1">
        <f>SUM(J103:J108)</f>
        <v>1568764.395307953</v>
      </c>
      <c r="K109" s="1"/>
      <c r="L109" s="107"/>
      <c r="M109" s="216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</row>
    <row r="110" spans="1:40">
      <c r="A110" s="44">
        <f t="shared" si="2"/>
        <v>82</v>
      </c>
      <c r="B110" s="3"/>
      <c r="C110" s="93"/>
      <c r="D110" s="1"/>
      <c r="E110" s="1"/>
      <c r="F110" s="1"/>
      <c r="G110" s="1"/>
      <c r="H110" s="132"/>
      <c r="I110" s="1"/>
      <c r="J110" s="1"/>
      <c r="K110" s="1"/>
      <c r="L110" s="107"/>
      <c r="M110" s="216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</row>
    <row r="111" spans="1:40">
      <c r="A111" s="44">
        <f t="shared" si="2"/>
        <v>83</v>
      </c>
      <c r="B111" s="3"/>
      <c r="C111" s="93"/>
      <c r="D111" s="1"/>
      <c r="E111" s="1"/>
      <c r="F111" s="1"/>
      <c r="G111" s="1"/>
      <c r="H111" s="132"/>
      <c r="I111" s="1"/>
      <c r="J111" s="1"/>
      <c r="K111" s="1"/>
      <c r="L111" s="107"/>
      <c r="M111" s="216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</row>
    <row r="112" spans="1:40">
      <c r="A112" s="44">
        <f t="shared" si="2"/>
        <v>84</v>
      </c>
      <c r="B112" s="3"/>
      <c r="C112" s="93" t="s">
        <v>180</v>
      </c>
      <c r="D112" s="1" t="s">
        <v>54</v>
      </c>
      <c r="E112" s="1"/>
      <c r="F112" s="1"/>
      <c r="G112" s="3"/>
      <c r="H112" s="134"/>
      <c r="I112" s="1"/>
      <c r="J112" s="3"/>
      <c r="K112" s="1"/>
      <c r="L112" s="107"/>
      <c r="M112" s="216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</row>
    <row r="113" spans="1:40">
      <c r="A113" s="44">
        <f t="shared" si="2"/>
        <v>85</v>
      </c>
      <c r="B113" s="3"/>
      <c r="C113" s="135" t="s">
        <v>224</v>
      </c>
      <c r="D113" s="1"/>
      <c r="E113" s="162">
        <f>IF(E231&gt;0,1-(((1-E232)*(1-E231))/(1-E232*E231*E233)),0)</f>
        <v>0.20999999999999996</v>
      </c>
      <c r="F113" s="1"/>
      <c r="G113" s="3"/>
      <c r="H113" s="134"/>
      <c r="I113" s="1"/>
      <c r="J113" s="3"/>
      <c r="K113" s="1"/>
      <c r="L113" s="107"/>
      <c r="M113" s="216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</row>
    <row r="114" spans="1:40">
      <c r="A114" s="44">
        <f t="shared" si="2"/>
        <v>86</v>
      </c>
      <c r="B114" s="3"/>
      <c r="C114" s="3" t="s">
        <v>225</v>
      </c>
      <c r="D114" s="1"/>
      <c r="E114" s="162">
        <f>IF(J200&gt;0,(E113/(1-E113))*(1-J197/J200),0)</f>
        <v>0.18676775987803729</v>
      </c>
      <c r="F114" s="1"/>
      <c r="G114" s="3"/>
      <c r="H114" s="134"/>
      <c r="I114" s="1"/>
      <c r="J114" s="3"/>
      <c r="K114" s="1"/>
      <c r="L114" s="107"/>
      <c r="M114" s="216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</row>
    <row r="115" spans="1:40">
      <c r="A115" s="44">
        <f t="shared" si="2"/>
        <v>87</v>
      </c>
      <c r="B115" s="3"/>
      <c r="C115" s="93" t="str">
        <f>"       where WCLTD=(line "&amp;A197&amp;") and R= (line "&amp;A200&amp;")"</f>
        <v xml:space="preserve">       where WCLTD=(line 156) and R= (line 159)</v>
      </c>
      <c r="D115" s="1"/>
      <c r="E115" s="1"/>
      <c r="F115" s="1"/>
      <c r="G115" s="3"/>
      <c r="H115" s="134"/>
      <c r="I115" s="1"/>
      <c r="J115" s="3"/>
      <c r="K115" s="1"/>
      <c r="L115" s="107"/>
      <c r="M115" s="216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</row>
    <row r="116" spans="1:40">
      <c r="A116" s="44">
        <f t="shared" si="2"/>
        <v>88</v>
      </c>
      <c r="B116" s="3"/>
      <c r="C116" s="93" t="s">
        <v>56</v>
      </c>
      <c r="D116" s="1"/>
      <c r="E116" s="1"/>
      <c r="F116" s="1"/>
      <c r="G116" s="3"/>
      <c r="H116" s="134"/>
      <c r="I116" s="1"/>
      <c r="J116" s="3"/>
      <c r="K116" s="1"/>
      <c r="L116" s="107"/>
      <c r="M116" s="216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</row>
    <row r="117" spans="1:40">
      <c r="A117" s="44">
        <f t="shared" si="2"/>
        <v>89</v>
      </c>
      <c r="B117" s="3"/>
      <c r="C117" s="135" t="s">
        <v>391</v>
      </c>
      <c r="D117" s="1" t="s">
        <v>392</v>
      </c>
      <c r="E117" s="136"/>
      <c r="F117" s="1"/>
      <c r="G117" s="3"/>
      <c r="H117" s="134"/>
      <c r="I117" s="1"/>
      <c r="J117" s="184">
        <v>650867</v>
      </c>
      <c r="K117" s="1"/>
      <c r="L117" s="107"/>
      <c r="M117" s="216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</row>
    <row r="118" spans="1:40">
      <c r="A118" s="44">
        <f t="shared" si="2"/>
        <v>90</v>
      </c>
      <c r="B118" s="3"/>
      <c r="C118" s="163" t="s">
        <v>214</v>
      </c>
      <c r="D118" s="3" t="str">
        <f>"(line "&amp;A114&amp;" * line "&amp;A121&amp;")"</f>
        <v>(line 86 * line 93)</v>
      </c>
      <c r="E118" s="98"/>
      <c r="F118" s="1"/>
      <c r="G118" s="1" t="s">
        <v>133</v>
      </c>
      <c r="H118" s="132" t="s">
        <v>133</v>
      </c>
      <c r="I118" s="1"/>
      <c r="J118" s="1">
        <f>E114*J121-J117</f>
        <v>2460934.3318348168</v>
      </c>
      <c r="K118" s="1"/>
      <c r="L118" s="107"/>
      <c r="M118" s="216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</row>
    <row r="119" spans="1:40">
      <c r="A119" s="44">
        <f t="shared" si="2"/>
        <v>91</v>
      </c>
      <c r="B119" s="3"/>
      <c r="C119" s="137"/>
      <c r="D119" s="138"/>
      <c r="E119" s="1"/>
      <c r="F119" s="1"/>
      <c r="G119" s="1"/>
      <c r="H119" s="132"/>
      <c r="I119" s="1"/>
      <c r="J119" s="1"/>
      <c r="K119" s="1"/>
      <c r="L119" s="107"/>
      <c r="M119" s="216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</row>
    <row r="120" spans="1:40">
      <c r="A120" s="44">
        <f t="shared" si="2"/>
        <v>92</v>
      </c>
      <c r="B120" s="3"/>
      <c r="C120" s="93" t="s">
        <v>181</v>
      </c>
      <c r="D120" s="123"/>
      <c r="E120" s="1"/>
      <c r="F120" s="1"/>
      <c r="G120" s="273"/>
      <c r="H120" s="273"/>
      <c r="I120" s="273"/>
      <c r="J120" s="273"/>
      <c r="K120" s="1"/>
      <c r="L120" s="107"/>
      <c r="M120" s="216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</row>
    <row r="121" spans="1:40" ht="17.25" customHeight="1">
      <c r="A121" s="44">
        <f t="shared" si="2"/>
        <v>93</v>
      </c>
      <c r="B121" s="3"/>
      <c r="C121" s="163" t="str">
        <f>"  [ Rate Base (line "&amp;A68&amp;") * R (line "&amp;A200&amp;")]"</f>
        <v xml:space="preserve">  [ Rate Base (line 53) * R (line 159)]</v>
      </c>
      <c r="D121" s="3"/>
      <c r="E121" s="1"/>
      <c r="F121" s="1"/>
      <c r="G121" s="1" t="s">
        <v>57</v>
      </c>
      <c r="H121" s="134"/>
      <c r="I121" s="1"/>
      <c r="J121" s="1">
        <f>+$J200*J68</f>
        <v>16661340.982334848</v>
      </c>
      <c r="K121" s="1"/>
      <c r="L121" s="107"/>
      <c r="M121" s="216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</row>
    <row r="122" spans="1:40">
      <c r="A122" s="44">
        <f t="shared" si="2"/>
        <v>94</v>
      </c>
      <c r="B122" s="3"/>
      <c r="C122" s="93"/>
      <c r="D122" s="3"/>
      <c r="E122" s="1"/>
      <c r="F122" s="1"/>
      <c r="G122" s="1"/>
      <c r="H122" s="134"/>
      <c r="I122" s="1"/>
      <c r="J122" s="1"/>
      <c r="K122" s="1"/>
      <c r="L122" s="107"/>
      <c r="M122" s="216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</row>
    <row r="123" spans="1:40" ht="15.75" thickBot="1">
      <c r="A123" s="44">
        <f t="shared" si="2"/>
        <v>95</v>
      </c>
      <c r="B123" s="3"/>
      <c r="C123" s="93" t="str">
        <f>"ESTIMATED REVENUE REQUIREMENT  (sum lines "&amp;A91&amp;", "&amp;A99&amp;", "&amp;A109&amp;", "&amp;A118&amp;", "&amp;A121&amp;")"</f>
        <v>ESTIMATED REVENUE REQUIREMENT  (sum lines 63, 71, 81, 90, 93)</v>
      </c>
      <c r="D123" s="1"/>
      <c r="E123" s="164">
        <f>E118+E109+E99+E91</f>
        <v>56319863.643657006</v>
      </c>
      <c r="F123" s="1"/>
      <c r="G123" s="1"/>
      <c r="H123" s="1"/>
      <c r="I123" s="1"/>
      <c r="J123" s="165">
        <f>J118+J109+J99+J91+J121</f>
        <v>32320343.89215868</v>
      </c>
      <c r="K123" s="93"/>
      <c r="L123" s="107"/>
      <c r="M123" s="216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</row>
    <row r="124" spans="1:40" ht="15.75" thickTop="1">
      <c r="A124" s="44"/>
      <c r="B124" s="3"/>
      <c r="C124" s="3"/>
      <c r="D124" s="3"/>
      <c r="E124" s="3"/>
      <c r="F124" s="3"/>
      <c r="G124" s="3"/>
      <c r="H124" s="3"/>
      <c r="I124" s="3"/>
      <c r="J124" s="3"/>
      <c r="K124" s="1"/>
      <c r="L124" s="107"/>
      <c r="M124" s="216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</row>
    <row r="125" spans="1:40">
      <c r="A125" s="44"/>
      <c r="B125" s="3"/>
      <c r="C125" s="3"/>
      <c r="D125" s="3"/>
      <c r="E125" s="3"/>
      <c r="F125" s="3"/>
      <c r="G125" s="3"/>
      <c r="H125" s="3"/>
      <c r="I125" s="106" t="s">
        <v>320</v>
      </c>
      <c r="J125" s="127">
        <f>J1</f>
        <v>45565</v>
      </c>
      <c r="K125" s="1"/>
      <c r="L125" s="107"/>
      <c r="M125" s="216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</row>
    <row r="126" spans="1:40">
      <c r="A126" s="44"/>
      <c r="B126" s="3"/>
      <c r="C126" s="3"/>
      <c r="D126" s="3"/>
      <c r="E126" s="3"/>
      <c r="F126" s="3"/>
      <c r="G126" s="3"/>
      <c r="H126" s="273"/>
      <c r="I126" s="106" t="str">
        <f>$I$2</f>
        <v>Service Year</v>
      </c>
      <c r="J126" s="93">
        <f>$J$2</f>
        <v>2025</v>
      </c>
      <c r="K126" s="273"/>
      <c r="L126" s="107"/>
      <c r="M126" s="216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</row>
    <row r="127" spans="1:40" ht="15.75">
      <c r="A127" s="249" t="s">
        <v>238</v>
      </c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107"/>
      <c r="M127" s="216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</row>
    <row r="128" spans="1:40" ht="15.75">
      <c r="A128" s="250" t="s">
        <v>134</v>
      </c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107"/>
      <c r="M128" s="216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</row>
    <row r="129" spans="1:40">
      <c r="A129" s="3"/>
      <c r="B129" s="3"/>
      <c r="C129" s="93"/>
      <c r="D129" s="93"/>
      <c r="E129" s="273"/>
      <c r="F129" s="93"/>
      <c r="G129" s="93"/>
      <c r="H129" s="93"/>
      <c r="I129" s="93"/>
      <c r="J129" s="93"/>
      <c r="K129" s="93"/>
      <c r="L129" s="107"/>
      <c r="M129" s="216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</row>
    <row r="130" spans="1:40" ht="15.75">
      <c r="A130" s="248" t="s">
        <v>237</v>
      </c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107"/>
      <c r="M130" s="216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</row>
    <row r="131" spans="1:40">
      <c r="A131" s="44"/>
      <c r="B131" s="3"/>
      <c r="C131" s="3"/>
      <c r="D131" s="93"/>
      <c r="E131" s="93"/>
      <c r="F131" s="93"/>
      <c r="G131" s="93"/>
      <c r="H131" s="93"/>
      <c r="I131" s="93"/>
      <c r="J131" s="93"/>
      <c r="K131" s="93"/>
      <c r="L131" s="107"/>
      <c r="M131" s="216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</row>
    <row r="132" spans="1:40" ht="15.75">
      <c r="A132" s="251" t="s">
        <v>3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107"/>
      <c r="M132" s="216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</row>
    <row r="133" spans="1:40" ht="15.75">
      <c r="A133" s="44"/>
      <c r="B133" s="3"/>
      <c r="C133" s="120"/>
      <c r="D133" s="93"/>
      <c r="E133" s="93"/>
      <c r="F133" s="93"/>
      <c r="G133" s="93"/>
      <c r="H133" s="93"/>
      <c r="I133" s="93"/>
      <c r="J133" s="93"/>
      <c r="K133" s="1"/>
      <c r="L133" s="107"/>
      <c r="M133" s="216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</row>
    <row r="134" spans="1:40" ht="15.75">
      <c r="A134" s="44" t="s">
        <v>135</v>
      </c>
      <c r="B134" s="3"/>
      <c r="C134" s="120"/>
      <c r="D134" s="93"/>
      <c r="E134" s="93"/>
      <c r="F134" s="93"/>
      <c r="G134" s="93"/>
      <c r="H134" s="93"/>
      <c r="I134" s="93"/>
      <c r="J134" s="93"/>
      <c r="K134" s="1"/>
      <c r="L134" s="107"/>
      <c r="M134" s="216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</row>
    <row r="135" spans="1:40" ht="15.75" thickBot="1">
      <c r="A135" s="119" t="s">
        <v>136</v>
      </c>
      <c r="B135" s="3"/>
      <c r="C135" s="2" t="s">
        <v>81</v>
      </c>
      <c r="D135" s="93"/>
      <c r="E135" s="93"/>
      <c r="F135" s="93"/>
      <c r="G135" s="93"/>
      <c r="H135" s="93"/>
      <c r="I135" s="3"/>
      <c r="J135" s="3"/>
      <c r="K135" s="1"/>
      <c r="L135" s="107"/>
      <c r="M135" s="216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</row>
    <row r="136" spans="1:40" ht="15.75" thickBot="1">
      <c r="A136" s="44"/>
      <c r="B136" s="3"/>
      <c r="C136" s="2"/>
      <c r="D136" s="93"/>
      <c r="E136" s="4" t="s">
        <v>0</v>
      </c>
      <c r="F136" s="93"/>
      <c r="G136" s="93"/>
      <c r="H136" s="93"/>
      <c r="I136" s="93"/>
      <c r="J136" s="93"/>
      <c r="K136" s="1"/>
      <c r="L136" s="107"/>
      <c r="M136" s="216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</row>
    <row r="137" spans="1:40" ht="16.5" customHeight="1">
      <c r="A137" s="44">
        <f>+A123+1</f>
        <v>96</v>
      </c>
      <c r="B137" s="3"/>
      <c r="C137" s="2" t="s">
        <v>71</v>
      </c>
      <c r="D137" s="93"/>
      <c r="E137" s="1" t="s">
        <v>371</v>
      </c>
      <c r="F137" s="1"/>
      <c r="G137" s="1"/>
      <c r="H137" s="1"/>
      <c r="I137" s="1"/>
      <c r="J137" s="1">
        <f>E16+E17+E18</f>
        <v>299526638.92754334</v>
      </c>
      <c r="K137" s="1"/>
      <c r="L137" s="107"/>
      <c r="M137" s="216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</row>
    <row r="138" spans="1:40" ht="15.75">
      <c r="A138" s="44">
        <f>+A137+1</f>
        <v>97</v>
      </c>
      <c r="B138" s="3"/>
      <c r="C138" s="2" t="s">
        <v>52</v>
      </c>
      <c r="D138" s="3"/>
      <c r="E138" s="3" t="s">
        <v>120</v>
      </c>
      <c r="F138" s="3"/>
      <c r="G138" s="3"/>
      <c r="H138" s="3"/>
      <c r="I138" s="3"/>
      <c r="J138" s="180">
        <v>39965673.096629471</v>
      </c>
      <c r="K138" s="1"/>
      <c r="L138" s="107"/>
      <c r="M138" s="215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</row>
    <row r="139" spans="1:40" ht="15.75" thickBot="1">
      <c r="A139" s="44">
        <f t="shared" ref="A139:A200" si="3">+A138+1</f>
        <v>98</v>
      </c>
      <c r="B139" s="3"/>
      <c r="C139" s="166" t="s">
        <v>53</v>
      </c>
      <c r="D139" s="139"/>
      <c r="E139" s="4" t="s">
        <v>120</v>
      </c>
      <c r="F139" s="1"/>
      <c r="G139" s="1"/>
      <c r="H139" s="140"/>
      <c r="I139" s="1"/>
      <c r="J139" s="4">
        <v>0</v>
      </c>
      <c r="K139" s="1"/>
      <c r="L139" s="107"/>
      <c r="M139" s="216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</row>
    <row r="140" spans="1:40">
      <c r="A140" s="44">
        <f t="shared" si="3"/>
        <v>99</v>
      </c>
      <c r="B140" s="3"/>
      <c r="C140" s="2" t="str">
        <f>"Transmission plant included in Common Use Facilities  (line "&amp;A137&amp;" less lines "&amp;A138&amp;" and "&amp;A139&amp;")"</f>
        <v>Transmission plant included in Common Use Facilities  (line 96 less lines 97 and 98)</v>
      </c>
      <c r="D140" s="93"/>
      <c r="E140" s="1"/>
      <c r="F140" s="1"/>
      <c r="G140" s="1"/>
      <c r="H140" s="140"/>
      <c r="I140" s="1"/>
      <c r="J140" s="1">
        <f>J137-J138-J139</f>
        <v>259560965.83091387</v>
      </c>
      <c r="K140" s="1"/>
      <c r="L140" s="107"/>
      <c r="M140" s="216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</row>
    <row r="141" spans="1:40">
      <c r="A141" s="44">
        <f t="shared" si="3"/>
        <v>100</v>
      </c>
      <c r="B141" s="3"/>
      <c r="C141" s="2" t="str">
        <f>"Plus Common Use AC Facilities (line "&amp;A151&amp;")"</f>
        <v>Plus Common Use AC Facilities (line 110)</v>
      </c>
      <c r="D141" s="93"/>
      <c r="E141" s="1"/>
      <c r="F141" s="1"/>
      <c r="G141" s="1"/>
      <c r="H141" s="140"/>
      <c r="I141" s="1"/>
      <c r="J141" s="1">
        <f>+J151</f>
        <v>10941634.676509559</v>
      </c>
      <c r="K141" s="1"/>
      <c r="L141" s="107"/>
      <c r="M141" s="216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</row>
    <row r="142" spans="1:40">
      <c r="A142" s="44">
        <f t="shared" si="3"/>
        <v>101</v>
      </c>
      <c r="B142" s="3"/>
      <c r="C142" s="2" t="str">
        <f>"Total Gross Plant for the CUS System (line "&amp;A140&amp;" plus line "&amp;A141&amp;")"</f>
        <v>Total Gross Plant for the CUS System (line 99 plus line 100)</v>
      </c>
      <c r="D142" s="93"/>
      <c r="E142" s="1"/>
      <c r="F142" s="1"/>
      <c r="G142" s="1"/>
      <c r="H142" s="140"/>
      <c r="I142" s="1"/>
      <c r="J142" s="99">
        <f>SUM(J140:J141)</f>
        <v>270502600.5074234</v>
      </c>
      <c r="K142" s="1"/>
      <c r="L142" s="107"/>
      <c r="M142" s="216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</row>
    <row r="143" spans="1:40">
      <c r="A143" s="44">
        <f t="shared" si="3"/>
        <v>102</v>
      </c>
      <c r="B143" s="3"/>
      <c r="C143" s="2" t="str">
        <f>"Total CUS Plant (line "&amp;A137&amp;" plus line "&amp;A151&amp;")"</f>
        <v>Total CUS Plant (line 96 plus line 110)</v>
      </c>
      <c r="D143" s="93"/>
      <c r="E143" s="1"/>
      <c r="F143" s="1"/>
      <c r="G143" s="1"/>
      <c r="H143" s="140"/>
      <c r="I143" s="1"/>
      <c r="J143" s="1">
        <f>+J137+J151</f>
        <v>310468273.6040529</v>
      </c>
      <c r="K143" s="1"/>
      <c r="L143" s="107"/>
      <c r="M143" s="216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</row>
    <row r="144" spans="1:40">
      <c r="A144" s="44">
        <f t="shared" si="3"/>
        <v>103</v>
      </c>
      <c r="B144" s="3"/>
      <c r="C144" s="3"/>
      <c r="D144" s="93"/>
      <c r="E144" s="1"/>
      <c r="F144" s="1"/>
      <c r="G144" s="1"/>
      <c r="H144" s="140"/>
      <c r="I144" s="1"/>
      <c r="J144" s="3"/>
      <c r="K144" s="1"/>
      <c r="L144" s="107"/>
      <c r="M144" s="216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</row>
    <row r="145" spans="1:40">
      <c r="A145" s="44">
        <f t="shared" si="3"/>
        <v>104</v>
      </c>
      <c r="B145" s="3"/>
      <c r="C145" s="2" t="str">
        <f>"Percentage of transmission plant included in Common Use Facilities (line "&amp;A142&amp;" divided by line "&amp;A143&amp;")"</f>
        <v>Percentage of transmission plant included in Common Use Facilities (line 101 divided by line 102)</v>
      </c>
      <c r="D145" s="110"/>
      <c r="E145" s="110"/>
      <c r="F145" s="110"/>
      <c r="G145" s="110"/>
      <c r="H145" s="113"/>
      <c r="I145" s="1" t="s">
        <v>182</v>
      </c>
      <c r="J145" s="141">
        <f>ROUND(IF(J143&gt;0,J142/J143,0),6)</f>
        <v>0.87127299999999996</v>
      </c>
      <c r="K145" s="1"/>
      <c r="L145" s="107"/>
      <c r="M145" s="216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</row>
    <row r="146" spans="1:40">
      <c r="A146" s="44">
        <f t="shared" si="3"/>
        <v>105</v>
      </c>
      <c r="B146" s="3"/>
      <c r="C146" s="3"/>
      <c r="D146" s="3"/>
      <c r="E146" s="3"/>
      <c r="F146" s="3"/>
      <c r="G146" s="3"/>
      <c r="H146" s="3"/>
      <c r="I146" s="3"/>
      <c r="J146" s="3"/>
      <c r="K146" s="1"/>
      <c r="L146" s="107"/>
      <c r="M146" s="216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</row>
    <row r="147" spans="1:40" ht="15.75" thickBot="1">
      <c r="A147" s="44">
        <f t="shared" si="3"/>
        <v>106</v>
      </c>
      <c r="B147" s="3"/>
      <c r="C147" s="2" t="s">
        <v>69</v>
      </c>
      <c r="D147" s="93"/>
      <c r="E147" s="4" t="s">
        <v>0</v>
      </c>
      <c r="F147" s="93"/>
      <c r="G147" s="93"/>
      <c r="H147" s="93"/>
      <c r="I147" s="93"/>
      <c r="J147" s="93"/>
      <c r="K147" s="3"/>
      <c r="L147" s="107"/>
      <c r="M147" s="216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</row>
    <row r="148" spans="1:40">
      <c r="A148" s="44">
        <f t="shared" si="3"/>
        <v>107</v>
      </c>
      <c r="B148" s="3"/>
      <c r="C148" s="2" t="s">
        <v>70</v>
      </c>
      <c r="D148" s="93"/>
      <c r="E148" s="1" t="str">
        <f>"Column (3) line "&amp;A19&amp;""</f>
        <v>Column (3) line 5</v>
      </c>
      <c r="F148" s="1"/>
      <c r="G148" s="1"/>
      <c r="H148" s="1"/>
      <c r="I148" s="1"/>
      <c r="J148" s="1">
        <f>+E19</f>
        <v>539541946.36650956</v>
      </c>
      <c r="K148" s="3"/>
      <c r="L148" s="107"/>
      <c r="M148" s="216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</row>
    <row r="149" spans="1:40">
      <c r="A149" s="44">
        <f t="shared" si="3"/>
        <v>108</v>
      </c>
      <c r="B149" s="3"/>
      <c r="C149" s="2" t="s">
        <v>73</v>
      </c>
      <c r="D149" s="3"/>
      <c r="E149" s="3" t="s">
        <v>120</v>
      </c>
      <c r="F149" s="3"/>
      <c r="G149" s="3"/>
      <c r="H149" s="3"/>
      <c r="I149" s="3"/>
      <c r="J149" s="1">
        <v>528600311.69</v>
      </c>
      <c r="K149" s="3"/>
      <c r="L149" s="107"/>
      <c r="M149" s="216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</row>
    <row r="150" spans="1:40" ht="15.75" thickBot="1">
      <c r="A150" s="44">
        <f t="shared" si="3"/>
        <v>109</v>
      </c>
      <c r="B150" s="3"/>
      <c r="C150" s="166" t="s">
        <v>74</v>
      </c>
      <c r="D150" s="139"/>
      <c r="E150" s="4" t="s">
        <v>120</v>
      </c>
      <c r="F150" s="1"/>
      <c r="G150" s="1"/>
      <c r="H150" s="140"/>
      <c r="I150" s="1"/>
      <c r="J150" s="4">
        <v>0</v>
      </c>
      <c r="K150" s="3"/>
      <c r="L150" s="107"/>
      <c r="M150" s="216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</row>
    <row r="151" spans="1:40" ht="15.75">
      <c r="A151" s="44">
        <f t="shared" si="3"/>
        <v>110</v>
      </c>
      <c r="B151" s="3"/>
      <c r="C151" s="2" t="str">
        <f>"Common Use AC Facilities (line "&amp;A148&amp;" less lines "&amp;A149&amp;" &amp; "&amp;A150&amp;")"</f>
        <v>Common Use AC Facilities (line 107 less lines 108 &amp; 109)</v>
      </c>
      <c r="D151" s="93"/>
      <c r="E151" s="1"/>
      <c r="F151" s="1"/>
      <c r="G151" s="1"/>
      <c r="H151" s="140"/>
      <c r="I151" s="1"/>
      <c r="J151" s="180">
        <f>+J148-J149-J150</f>
        <v>10941634.676509559</v>
      </c>
      <c r="K151" s="3"/>
      <c r="L151" s="107"/>
      <c r="M151" s="215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</row>
    <row r="152" spans="1:40">
      <c r="A152" s="44">
        <f t="shared" si="3"/>
        <v>111</v>
      </c>
      <c r="B152" s="3"/>
      <c r="C152" s="3"/>
      <c r="D152" s="93"/>
      <c r="E152" s="1"/>
      <c r="F152" s="1"/>
      <c r="G152" s="1"/>
      <c r="H152" s="140"/>
      <c r="I152" s="1"/>
      <c r="J152" s="3"/>
      <c r="K152" s="3"/>
      <c r="L152" s="107"/>
      <c r="M152" s="216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</row>
    <row r="153" spans="1:40">
      <c r="A153" s="44">
        <f t="shared" si="3"/>
        <v>112</v>
      </c>
      <c r="B153" s="3"/>
      <c r="C153" s="2" t="str">
        <f>"Percentage of distribution plant included in Common Use Facilities (line "&amp;A148&amp;" divided by line "&amp;A151&amp;")"</f>
        <v>Percentage of distribution plant included in Common Use Facilities (line 107 divided by line 110)</v>
      </c>
      <c r="D153" s="110"/>
      <c r="E153" s="110"/>
      <c r="F153" s="110"/>
      <c r="G153" s="110"/>
      <c r="H153" s="113"/>
      <c r="I153" s="1" t="s">
        <v>72</v>
      </c>
      <c r="J153" s="141">
        <f>ROUND(IF(J148&gt;0,J151/J148,0),6)</f>
        <v>2.0278999999999998E-2</v>
      </c>
      <c r="K153" s="3"/>
      <c r="L153" s="107"/>
      <c r="M153" s="216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</row>
    <row r="154" spans="1:40">
      <c r="A154" s="44">
        <f t="shared" si="3"/>
        <v>113</v>
      </c>
      <c r="B154" s="3"/>
      <c r="C154" s="3"/>
      <c r="D154" s="93"/>
      <c r="E154" s="1"/>
      <c r="F154" s="1"/>
      <c r="G154" s="1"/>
      <c r="H154" s="140"/>
      <c r="I154" s="1"/>
      <c r="J154" s="3"/>
      <c r="K154" s="3"/>
      <c r="L154" s="107"/>
      <c r="M154" s="216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</row>
    <row r="155" spans="1:40" ht="15.75" thickBot="1">
      <c r="A155" s="44">
        <f t="shared" si="3"/>
        <v>114</v>
      </c>
      <c r="B155" s="3"/>
      <c r="C155" s="2" t="s">
        <v>160</v>
      </c>
      <c r="D155" s="93"/>
      <c r="E155" s="4" t="s">
        <v>0</v>
      </c>
      <c r="F155" s="1"/>
      <c r="G155" s="1"/>
      <c r="H155" s="140"/>
      <c r="I155" s="1"/>
      <c r="J155" s="1"/>
      <c r="K155" s="3"/>
      <c r="L155" s="107"/>
      <c r="M155" s="216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</row>
    <row r="156" spans="1:40">
      <c r="A156" s="44">
        <f t="shared" si="3"/>
        <v>115</v>
      </c>
      <c r="B156" s="3"/>
      <c r="C156" s="3" t="s">
        <v>44</v>
      </c>
      <c r="D156" s="93"/>
      <c r="E156" s="1" t="s">
        <v>372</v>
      </c>
      <c r="F156" s="1"/>
      <c r="G156" s="1"/>
      <c r="H156" s="140"/>
      <c r="I156" s="1"/>
      <c r="J156" s="1">
        <f>SUM(E28:E29)</f>
        <v>55253052.567243241</v>
      </c>
      <c r="K156" s="3"/>
      <c r="L156" s="107"/>
      <c r="M156" s="216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</row>
    <row r="157" spans="1:40" ht="15.75">
      <c r="A157" s="44">
        <f t="shared" si="3"/>
        <v>116</v>
      </c>
      <c r="B157" s="3"/>
      <c r="C157" s="2" t="s">
        <v>312</v>
      </c>
      <c r="D157" s="93"/>
      <c r="E157" s="1" t="s">
        <v>120</v>
      </c>
      <c r="F157" s="1"/>
      <c r="G157" s="1"/>
      <c r="H157" s="140"/>
      <c r="I157" s="1"/>
      <c r="J157" s="180">
        <v>10880597.688141745</v>
      </c>
      <c r="K157" s="3"/>
      <c r="L157" s="107"/>
      <c r="M157" s="215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</row>
    <row r="158" spans="1:40">
      <c r="A158" s="44">
        <f t="shared" si="3"/>
        <v>117</v>
      </c>
      <c r="B158" s="3"/>
      <c r="C158" s="167" t="str">
        <f>"Total Transmission Accumulated Depreciation included in Common Use Facilities (line "&amp;A156&amp;" - line "&amp;A157&amp;")"</f>
        <v>Total Transmission Accumulated Depreciation included in Common Use Facilities (line 115 - line 116)</v>
      </c>
      <c r="D158" s="142"/>
      <c r="E158" s="99"/>
      <c r="F158" s="1"/>
      <c r="G158" s="1"/>
      <c r="H158" s="140"/>
      <c r="I158" s="1"/>
      <c r="J158" s="99">
        <f>J156-J157</f>
        <v>44372454.8791015</v>
      </c>
      <c r="K158" s="3"/>
      <c r="L158" s="107"/>
      <c r="M158" s="216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</row>
    <row r="159" spans="1:40">
      <c r="A159" s="44">
        <f t="shared" si="3"/>
        <v>118</v>
      </c>
      <c r="B159" s="3"/>
      <c r="C159" s="2" t="str">
        <f>"Plus Common Use AC Facilities Accumulated Depreciation (line "&amp;A168&amp;")"</f>
        <v>Plus Common Use AC Facilities Accumulated Depreciation (line 127)</v>
      </c>
      <c r="D159" s="93"/>
      <c r="E159" s="1"/>
      <c r="F159" s="1"/>
      <c r="G159" s="1"/>
      <c r="H159" s="140"/>
      <c r="I159" s="1"/>
      <c r="J159" s="1">
        <f>+J168</f>
        <v>4454184.2465096414</v>
      </c>
      <c r="K159" s="3"/>
      <c r="L159" s="107"/>
      <c r="M159" s="216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</row>
    <row r="160" spans="1:40">
      <c r="A160" s="44">
        <f t="shared" si="3"/>
        <v>119</v>
      </c>
      <c r="B160" s="3"/>
      <c r="C160" s="2" t="str">
        <f>"Total Accumulated Depreciation for the CUS System (line "&amp;A158&amp;" plus line "&amp;A159&amp;")"</f>
        <v>Total Accumulated Depreciation for the CUS System (line 117 plus line 118)</v>
      </c>
      <c r="D160" s="93"/>
      <c r="E160" s="1"/>
      <c r="F160" s="1"/>
      <c r="G160" s="1"/>
      <c r="H160" s="140"/>
      <c r="I160" s="1"/>
      <c r="J160" s="99">
        <f>SUM(J158:J159)</f>
        <v>48826639.125611141</v>
      </c>
      <c r="K160" s="3"/>
      <c r="L160" s="107"/>
      <c r="M160" s="216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</row>
    <row r="161" spans="1:40">
      <c r="A161" s="44">
        <f t="shared" si="3"/>
        <v>120</v>
      </c>
      <c r="B161" s="3"/>
      <c r="C161" s="2" t="str">
        <f>"Total CUS Accumulated Depreciation (line "&amp;A156&amp;" plus line "&amp;A159&amp;")"</f>
        <v>Total CUS Accumulated Depreciation (line 115 plus line 118)</v>
      </c>
      <c r="D161" s="93"/>
      <c r="E161" s="1"/>
      <c r="F161" s="1"/>
      <c r="G161" s="1"/>
      <c r="H161" s="140"/>
      <c r="I161" s="1"/>
      <c r="J161" s="1">
        <f>+J156+J159</f>
        <v>59707236.813752882</v>
      </c>
      <c r="K161" s="3"/>
      <c r="L161" s="107"/>
      <c r="M161" s="216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</row>
    <row r="162" spans="1:40">
      <c r="A162" s="44">
        <f t="shared" si="3"/>
        <v>121</v>
      </c>
      <c r="B162" s="3"/>
      <c r="C162" s="3"/>
      <c r="D162" s="93"/>
      <c r="E162" s="1"/>
      <c r="F162" s="1"/>
      <c r="G162" s="1"/>
      <c r="H162" s="140"/>
      <c r="I162" s="1"/>
      <c r="J162" s="1"/>
      <c r="K162" s="3"/>
      <c r="L162" s="107"/>
      <c r="M162" s="216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</row>
    <row r="163" spans="1:40">
      <c r="A163" s="44">
        <f t="shared" si="3"/>
        <v>122</v>
      </c>
      <c r="B163" s="3"/>
      <c r="C163" s="2" t="str">
        <f>"Percentage of transmission plant accumulated depreciation included in Common Use Facilities (line "&amp;A160&amp;" divided by line "&amp;A161&amp;")"</f>
        <v>Percentage of transmission plant accumulated depreciation included in Common Use Facilities (line 119 divided by line 120)</v>
      </c>
      <c r="D163" s="93"/>
      <c r="E163" s="1"/>
      <c r="F163" s="1"/>
      <c r="G163" s="1"/>
      <c r="H163" s="140"/>
      <c r="I163" s="1" t="s">
        <v>45</v>
      </c>
      <c r="J163" s="141">
        <f>ROUND(IF(J161&gt;0,J160/J161,0),6)</f>
        <v>0.81776800000000005</v>
      </c>
      <c r="K163" s="3"/>
      <c r="L163" s="107"/>
      <c r="M163" s="216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</row>
    <row r="164" spans="1:40">
      <c r="A164" s="44">
        <f t="shared" si="3"/>
        <v>123</v>
      </c>
      <c r="B164" s="3"/>
      <c r="C164" s="3"/>
      <c r="D164" s="93"/>
      <c r="E164" s="1"/>
      <c r="F164" s="1"/>
      <c r="G164" s="1"/>
      <c r="H164" s="140"/>
      <c r="I164" s="1"/>
      <c r="J164" s="1"/>
      <c r="K164" s="3"/>
      <c r="L164" s="107"/>
      <c r="M164" s="216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</row>
    <row r="165" spans="1:40" ht="15.75" thickBot="1">
      <c r="A165" s="44">
        <f t="shared" si="3"/>
        <v>124</v>
      </c>
      <c r="B165" s="3"/>
      <c r="C165" s="3"/>
      <c r="D165" s="93"/>
      <c r="E165" s="4" t="s">
        <v>0</v>
      </c>
      <c r="F165" s="1"/>
      <c r="G165" s="1"/>
      <c r="H165" s="140"/>
      <c r="I165" s="1"/>
      <c r="J165" s="1"/>
      <c r="K165" s="3"/>
      <c r="L165" s="107"/>
      <c r="M165" s="216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</row>
    <row r="166" spans="1:40">
      <c r="A166" s="44">
        <f t="shared" si="3"/>
        <v>125</v>
      </c>
      <c r="B166" s="3"/>
      <c r="C166" s="3" t="s">
        <v>47</v>
      </c>
      <c r="D166" s="93"/>
      <c r="E166" s="1" t="s">
        <v>87</v>
      </c>
      <c r="F166" s="1"/>
      <c r="G166" s="1"/>
      <c r="H166" s="140"/>
      <c r="I166" s="1"/>
      <c r="J166" s="1">
        <f>+E30</f>
        <v>172715898.86650965</v>
      </c>
      <c r="K166" s="3"/>
      <c r="L166" s="107"/>
      <c r="M166" s="216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</row>
    <row r="167" spans="1:40">
      <c r="A167" s="44">
        <f t="shared" si="3"/>
        <v>126</v>
      </c>
      <c r="B167" s="3"/>
      <c r="C167" s="3" t="s">
        <v>121</v>
      </c>
      <c r="D167" s="93"/>
      <c r="E167" s="1"/>
      <c r="F167" s="1"/>
      <c r="G167" s="1"/>
      <c r="H167" s="140"/>
      <c r="I167" s="1"/>
      <c r="J167" s="1">
        <v>168261714.62</v>
      </c>
      <c r="K167" s="3"/>
      <c r="L167" s="107"/>
      <c r="M167" s="216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</row>
    <row r="168" spans="1:40" ht="15.75">
      <c r="A168" s="44">
        <f t="shared" si="3"/>
        <v>127</v>
      </c>
      <c r="B168" s="3"/>
      <c r="C168" s="168" t="str">
        <f>"Common Use AC Facilities (line "&amp;A166&amp;" less line "&amp;A167&amp;")"</f>
        <v>Common Use AC Facilities (line 125 less line 126)</v>
      </c>
      <c r="D168" s="142"/>
      <c r="E168" s="99"/>
      <c r="F168" s="1"/>
      <c r="G168" s="1"/>
      <c r="H168" s="140"/>
      <c r="I168" s="1"/>
      <c r="J168" s="190">
        <f>+J166-J167</f>
        <v>4454184.2465096414</v>
      </c>
      <c r="K168" s="3"/>
      <c r="L168" s="107"/>
      <c r="M168" s="215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</row>
    <row r="169" spans="1:40">
      <c r="A169" s="44">
        <f t="shared" si="3"/>
        <v>128</v>
      </c>
      <c r="B169" s="3"/>
      <c r="C169" s="3"/>
      <c r="D169" s="93"/>
      <c r="E169" s="1"/>
      <c r="F169" s="1"/>
      <c r="G169" s="1"/>
      <c r="H169" s="140"/>
      <c r="I169" s="1"/>
      <c r="J169" s="1"/>
      <c r="K169" s="3"/>
      <c r="L169" s="107"/>
      <c r="M169" s="216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</row>
    <row r="170" spans="1:40">
      <c r="A170" s="44">
        <f t="shared" si="3"/>
        <v>129</v>
      </c>
      <c r="B170" s="3"/>
      <c r="C170" s="2" t="str">
        <f>"Percentage of distribution plant accumulated depreciation included in Common Use Facilities (line "&amp;A168&amp;" divided by line "&amp;A166&amp;")"</f>
        <v>Percentage of distribution plant accumulated depreciation included in Common Use Facilities (line 127 divided by line 125)</v>
      </c>
      <c r="D170" s="93"/>
      <c r="E170" s="1"/>
      <c r="F170" s="1"/>
      <c r="G170" s="1"/>
      <c r="H170" s="140"/>
      <c r="I170" s="1" t="s">
        <v>48</v>
      </c>
      <c r="J170" s="141">
        <f>ROUND(IF(J166&gt;0,J168/J166,0),6)</f>
        <v>2.5788999999999999E-2</v>
      </c>
      <c r="K170" s="3"/>
      <c r="L170" s="107"/>
      <c r="M170" s="216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</row>
    <row r="171" spans="1:40">
      <c r="A171" s="44">
        <f t="shared" si="3"/>
        <v>130</v>
      </c>
      <c r="B171" s="3"/>
      <c r="C171" s="3"/>
      <c r="D171" s="93"/>
      <c r="E171" s="1"/>
      <c r="F171" s="1"/>
      <c r="G171" s="1"/>
      <c r="H171" s="140"/>
      <c r="I171" s="1"/>
      <c r="J171" s="1"/>
      <c r="K171" s="3"/>
      <c r="L171" s="107"/>
      <c r="M171" s="216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</row>
    <row r="172" spans="1:40">
      <c r="A172" s="44">
        <f t="shared" si="3"/>
        <v>131</v>
      </c>
      <c r="B172" s="3"/>
      <c r="C172" s="93" t="s">
        <v>183</v>
      </c>
      <c r="D172" s="1"/>
      <c r="E172" s="1"/>
      <c r="F172" s="1"/>
      <c r="G172" s="1"/>
      <c r="H172" s="1"/>
      <c r="I172" s="1"/>
      <c r="J172" s="1"/>
      <c r="K172" s="1"/>
      <c r="L172" s="107"/>
      <c r="M172" s="216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</row>
    <row r="173" spans="1:40" ht="15.75" thickBot="1">
      <c r="A173" s="44">
        <f t="shared" si="3"/>
        <v>132</v>
      </c>
      <c r="B173" s="3"/>
      <c r="C173" s="93"/>
      <c r="D173" s="4" t="s">
        <v>184</v>
      </c>
      <c r="E173" s="143" t="s">
        <v>185</v>
      </c>
      <c r="F173" s="143" t="s">
        <v>138</v>
      </c>
      <c r="G173" s="1"/>
      <c r="H173" s="143" t="s">
        <v>186</v>
      </c>
      <c r="I173" s="1"/>
      <c r="J173" s="140"/>
      <c r="K173" s="1"/>
      <c r="L173" s="107"/>
      <c r="M173" s="216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</row>
    <row r="174" spans="1:40" ht="15.75">
      <c r="A174" s="44">
        <f t="shared" si="3"/>
        <v>133</v>
      </c>
      <c r="B174" s="3"/>
      <c r="C174" s="93" t="s">
        <v>153</v>
      </c>
      <c r="D174" s="1" t="s">
        <v>91</v>
      </c>
      <c r="E174" s="182">
        <v>1868765</v>
      </c>
      <c r="F174" s="169">
        <f>+J145</f>
        <v>0.87127299999999996</v>
      </c>
      <c r="G174" s="3"/>
      <c r="H174" s="1">
        <f>E174*F174</f>
        <v>1628204.4878449999</v>
      </c>
      <c r="I174" s="1"/>
      <c r="J174" s="144"/>
      <c r="K174" s="1"/>
      <c r="L174" s="107"/>
      <c r="M174" s="215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</row>
    <row r="175" spans="1:40" ht="15.75">
      <c r="A175" s="44">
        <f t="shared" si="3"/>
        <v>134</v>
      </c>
      <c r="B175" s="3"/>
      <c r="C175" s="93" t="s">
        <v>105</v>
      </c>
      <c r="D175" s="1" t="s">
        <v>106</v>
      </c>
      <c r="E175" s="182">
        <v>30483609</v>
      </c>
      <c r="F175" s="169">
        <v>0</v>
      </c>
      <c r="G175" s="169"/>
      <c r="H175" s="1">
        <f>E175*F175</f>
        <v>0</v>
      </c>
      <c r="I175" s="1"/>
      <c r="J175" s="140" t="s">
        <v>187</v>
      </c>
      <c r="K175" s="1"/>
      <c r="L175" s="107"/>
      <c r="M175" s="215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</row>
    <row r="176" spans="1:40" ht="16.5" thickBot="1">
      <c r="A176" s="44">
        <f t="shared" si="3"/>
        <v>135</v>
      </c>
      <c r="B176" s="3"/>
      <c r="C176" s="93" t="s">
        <v>107</v>
      </c>
      <c r="D176" s="1" t="s">
        <v>108</v>
      </c>
      <c r="E176" s="188">
        <v>-15921302</v>
      </c>
      <c r="F176" s="169">
        <v>0</v>
      </c>
      <c r="G176" s="169"/>
      <c r="H176" s="4">
        <f>E176*F176</f>
        <v>0</v>
      </c>
      <c r="I176" s="1"/>
      <c r="J176" s="119" t="s">
        <v>188</v>
      </c>
      <c r="K176" s="1"/>
      <c r="L176" s="107"/>
      <c r="M176" s="215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</row>
    <row r="177" spans="1:40">
      <c r="A177" s="44">
        <f t="shared" si="3"/>
        <v>136</v>
      </c>
      <c r="B177" s="3"/>
      <c r="C177" s="93" t="str">
        <f>"  Adjusted Total  (sum lines "&amp;A175&amp;"-"&amp;A176&amp;")"</f>
        <v xml:space="preserve">  Adjusted Total  (sum lines 134-135)</v>
      </c>
      <c r="D177" s="1"/>
      <c r="E177" s="1">
        <f>SUM(E175:E176)</f>
        <v>14562307</v>
      </c>
      <c r="F177" s="1"/>
      <c r="G177" s="3"/>
      <c r="H177" s="1">
        <f>SUM(H174:H176)</f>
        <v>1628204.4878449999</v>
      </c>
      <c r="I177" s="1" t="s">
        <v>58</v>
      </c>
      <c r="J177" s="121">
        <f>IF(E177&gt;0,+H177/E177,0)</f>
        <v>0.11180951533606591</v>
      </c>
      <c r="K177" s="140"/>
      <c r="L177" s="107"/>
      <c r="M177" s="216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</row>
    <row r="178" spans="1:40">
      <c r="A178" s="44">
        <f t="shared" si="3"/>
        <v>137</v>
      </c>
      <c r="B178" s="3"/>
      <c r="C178" s="93"/>
      <c r="D178" s="1"/>
      <c r="E178" s="1"/>
      <c r="F178" s="1"/>
      <c r="G178" s="1"/>
      <c r="H178" s="1"/>
      <c r="I178" s="1"/>
      <c r="J178" s="1"/>
      <c r="K178" s="1"/>
      <c r="L178" s="107"/>
      <c r="M178" s="216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</row>
    <row r="179" spans="1:40" ht="15.75" thickBot="1">
      <c r="A179" s="44">
        <f t="shared" si="3"/>
        <v>138</v>
      </c>
      <c r="B179" s="3"/>
      <c r="C179" s="93" t="s">
        <v>92</v>
      </c>
      <c r="D179" s="1"/>
      <c r="E179" s="143" t="s">
        <v>185</v>
      </c>
      <c r="F179" s="143" t="s">
        <v>192</v>
      </c>
      <c r="G179" s="125" t="s">
        <v>138</v>
      </c>
      <c r="H179" s="145" t="s">
        <v>95</v>
      </c>
      <c r="I179" s="134"/>
      <c r="J179" s="123"/>
      <c r="K179" s="3"/>
      <c r="L179" s="107"/>
      <c r="M179" s="216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</row>
    <row r="180" spans="1:40">
      <c r="A180" s="44">
        <f t="shared" si="3"/>
        <v>139</v>
      </c>
      <c r="B180" s="3"/>
      <c r="C180" s="93" t="s">
        <v>93</v>
      </c>
      <c r="D180" s="1" t="str">
        <f>"lines "&amp;A39&amp;", "&amp;A40&amp;" &amp; "&amp;A41&amp;""</f>
        <v>lines 25, 26 &amp; 27</v>
      </c>
      <c r="E180" s="1">
        <f>E39+E40+E41</f>
        <v>244273586.36030012</v>
      </c>
      <c r="F180" s="170">
        <f>IF(E182&gt;0,+E180/E182,0)</f>
        <v>0.39972792131657875</v>
      </c>
      <c r="G180" s="171">
        <f>+J145</f>
        <v>0.87127299999999996</v>
      </c>
      <c r="H180" s="172">
        <f>IF(F180&gt;0,+G180*F180,0)</f>
        <v>0.34827214518925953</v>
      </c>
      <c r="I180" s="173"/>
      <c r="J180" s="44"/>
      <c r="K180" s="1"/>
      <c r="L180" s="107"/>
      <c r="M180" s="216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</row>
    <row r="181" spans="1:40">
      <c r="A181" s="44">
        <f t="shared" si="3"/>
        <v>140</v>
      </c>
      <c r="B181" s="3"/>
      <c r="C181" s="93" t="s">
        <v>94</v>
      </c>
      <c r="D181" s="1" t="str">
        <f>"line "&amp;A42&amp;""</f>
        <v>line 28</v>
      </c>
      <c r="E181" s="1">
        <f>E42</f>
        <v>366826047.49999988</v>
      </c>
      <c r="F181" s="170">
        <f>IF(E182&gt;0,+E181/E182,0)</f>
        <v>0.60027207868342114</v>
      </c>
      <c r="G181" s="3"/>
      <c r="H181" s="132"/>
      <c r="I181" s="140"/>
      <c r="J181" s="132"/>
      <c r="K181" s="134"/>
      <c r="L181" s="107"/>
      <c r="M181" s="216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</row>
    <row r="182" spans="1:40">
      <c r="A182" s="44">
        <f t="shared" si="3"/>
        <v>141</v>
      </c>
      <c r="B182" s="3"/>
      <c r="C182" s="93" t="str">
        <f>"  Total  (sum lines "&amp;A180&amp;" - "&amp;A181&amp;")"</f>
        <v xml:space="preserve">  Total  (sum lines 139 - 140)</v>
      </c>
      <c r="D182" s="1"/>
      <c r="E182" s="99">
        <f>SUM(E180:E181)</f>
        <v>611099633.86030006</v>
      </c>
      <c r="F182" s="174">
        <f>SUM(F180:F181)</f>
        <v>0.99999999999999989</v>
      </c>
      <c r="G182" s="1"/>
      <c r="H182" s="1"/>
      <c r="I182" s="1" t="s">
        <v>96</v>
      </c>
      <c r="J182" s="146">
        <f>+H180</f>
        <v>0.34827214518925953</v>
      </c>
      <c r="K182" s="1"/>
      <c r="L182" s="107"/>
      <c r="M182" s="216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</row>
    <row r="183" spans="1:40">
      <c r="A183" s="44">
        <f t="shared" si="3"/>
        <v>142</v>
      </c>
      <c r="B183" s="3"/>
      <c r="C183" s="93"/>
      <c r="D183" s="1"/>
      <c r="E183" s="3"/>
      <c r="F183" s="1"/>
      <c r="G183" s="1"/>
      <c r="H183" s="1"/>
      <c r="I183" s="1"/>
      <c r="J183" s="146"/>
      <c r="K183" s="1"/>
      <c r="L183" s="107"/>
      <c r="M183" s="216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</row>
    <row r="184" spans="1:40" s="149" customFormat="1" ht="15.75" thickBot="1">
      <c r="A184" s="44">
        <f t="shared" si="3"/>
        <v>143</v>
      </c>
      <c r="B184" s="147"/>
      <c r="C184" s="148" t="s">
        <v>190</v>
      </c>
      <c r="D184" s="125" t="s">
        <v>184</v>
      </c>
      <c r="E184" s="1"/>
      <c r="F184" s="1"/>
      <c r="G184" s="1"/>
      <c r="H184" s="1"/>
      <c r="I184" s="1"/>
      <c r="J184" s="143" t="s">
        <v>185</v>
      </c>
      <c r="K184" s="1"/>
      <c r="L184" s="107"/>
      <c r="M184" s="147"/>
    </row>
    <row r="185" spans="1:40">
      <c r="A185" s="44">
        <f t="shared" si="3"/>
        <v>144</v>
      </c>
      <c r="B185" s="147"/>
      <c r="C185" s="93" t="s">
        <v>242</v>
      </c>
      <c r="D185" s="1" t="s">
        <v>327</v>
      </c>
      <c r="E185" s="1"/>
      <c r="F185" s="1"/>
      <c r="G185" s="1"/>
      <c r="H185" s="1"/>
      <c r="I185" s="1"/>
      <c r="J185" s="185">
        <v>20599321</v>
      </c>
      <c r="K185" s="1"/>
      <c r="L185" s="107"/>
      <c r="M185" s="216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</row>
    <row r="186" spans="1:40">
      <c r="A186" s="44">
        <f t="shared" si="3"/>
        <v>145</v>
      </c>
      <c r="B186" s="149"/>
      <c r="C186" s="93"/>
      <c r="D186" s="1"/>
      <c r="E186" s="1"/>
      <c r="F186" s="1"/>
      <c r="G186" s="1"/>
      <c r="H186" s="1"/>
      <c r="I186" s="1"/>
      <c r="J186" s="1"/>
      <c r="K186" s="1"/>
      <c r="L186" s="107"/>
      <c r="M186" s="216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</row>
    <row r="187" spans="1:40">
      <c r="A187" s="44">
        <f t="shared" si="3"/>
        <v>146</v>
      </c>
      <c r="B187" s="147"/>
      <c r="C187" s="93" t="s">
        <v>243</v>
      </c>
      <c r="D187" s="1" t="s">
        <v>244</v>
      </c>
      <c r="E187" s="1"/>
      <c r="F187" s="1"/>
      <c r="G187" s="1"/>
      <c r="H187" s="1"/>
      <c r="I187" s="1"/>
      <c r="J187" s="182">
        <v>0</v>
      </c>
      <c r="K187" s="1"/>
      <c r="L187" s="107"/>
      <c r="M187" s="216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</row>
    <row r="188" spans="1:40">
      <c r="A188" s="44">
        <f t="shared" si="3"/>
        <v>147</v>
      </c>
      <c r="B188" s="147"/>
      <c r="C188" s="93"/>
      <c r="D188" s="1"/>
      <c r="E188" s="1"/>
      <c r="F188" s="1"/>
      <c r="G188" s="1"/>
      <c r="H188" s="1"/>
      <c r="I188" s="1"/>
      <c r="J188" s="1"/>
      <c r="K188" s="1"/>
      <c r="L188" s="107"/>
      <c r="M188" s="216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</row>
    <row r="189" spans="1:40">
      <c r="A189" s="44">
        <f t="shared" si="3"/>
        <v>148</v>
      </c>
      <c r="B189" s="147"/>
      <c r="C189" s="148" t="s">
        <v>245</v>
      </c>
      <c r="D189" s="125" t="s">
        <v>184</v>
      </c>
      <c r="E189" s="1"/>
      <c r="F189" s="1"/>
      <c r="G189" s="1"/>
      <c r="H189" s="1"/>
      <c r="I189" s="1"/>
      <c r="J189" s="1"/>
      <c r="K189" s="1"/>
      <c r="L189" s="107"/>
      <c r="M189" s="216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</row>
    <row r="190" spans="1:40">
      <c r="A190" s="44">
        <f t="shared" si="3"/>
        <v>149</v>
      </c>
      <c r="B190" s="147"/>
      <c r="C190" s="93" t="s">
        <v>13</v>
      </c>
      <c r="D190" s="1" t="s">
        <v>246</v>
      </c>
      <c r="E190" s="93"/>
      <c r="F190" s="1"/>
      <c r="G190" s="1"/>
      <c r="H190" s="1"/>
      <c r="I190" s="1"/>
      <c r="J190" s="182">
        <v>588273661</v>
      </c>
      <c r="K190" s="1"/>
      <c r="L190" s="107"/>
      <c r="M190" s="216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</row>
    <row r="191" spans="1:40">
      <c r="A191" s="44">
        <f t="shared" si="3"/>
        <v>150</v>
      </c>
      <c r="B191" s="147"/>
      <c r="C191" s="93" t="s">
        <v>247</v>
      </c>
      <c r="D191" s="1" t="s">
        <v>248</v>
      </c>
      <c r="E191" s="1"/>
      <c r="F191" s="1"/>
      <c r="G191" s="1"/>
      <c r="H191" s="1"/>
      <c r="I191" s="1"/>
      <c r="J191" s="182">
        <v>0</v>
      </c>
      <c r="K191" s="1"/>
      <c r="L191" s="107"/>
      <c r="M191" s="216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</row>
    <row r="192" spans="1:40">
      <c r="A192" s="44">
        <f t="shared" si="3"/>
        <v>151</v>
      </c>
      <c r="B192" s="147"/>
      <c r="C192" s="93" t="s">
        <v>249</v>
      </c>
      <c r="D192" s="1" t="s">
        <v>250</v>
      </c>
      <c r="E192" s="1"/>
      <c r="F192" s="1"/>
      <c r="G192" s="1"/>
      <c r="H192" s="1"/>
      <c r="I192" s="1"/>
      <c r="J192" s="185">
        <v>0</v>
      </c>
      <c r="K192" s="1"/>
      <c r="L192" s="107"/>
      <c r="M192" s="216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</row>
    <row r="193" spans="1:40" ht="15.75" thickBot="1">
      <c r="A193" s="44">
        <f t="shared" si="3"/>
        <v>152</v>
      </c>
      <c r="B193" s="147"/>
      <c r="C193" s="93" t="s">
        <v>251</v>
      </c>
      <c r="D193" s="1" t="s">
        <v>252</v>
      </c>
      <c r="E193" s="1"/>
      <c r="F193" s="1"/>
      <c r="G193" s="1"/>
      <c r="H193" s="1"/>
      <c r="I193" s="1"/>
      <c r="J193" s="183">
        <v>761474</v>
      </c>
      <c r="K193" s="1"/>
      <c r="L193" s="107"/>
      <c r="M193" s="216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</row>
    <row r="194" spans="1:40">
      <c r="A194" s="44">
        <f t="shared" si="3"/>
        <v>153</v>
      </c>
      <c r="B194" s="147"/>
      <c r="C194" s="175" t="s">
        <v>253</v>
      </c>
      <c r="D194" s="1"/>
      <c r="E194" s="93" t="str">
        <f>"(sum lines "&amp;A190&amp;"-"&amp;A193&amp;")"</f>
        <v>(sum lines 149-152)</v>
      </c>
      <c r="F194" s="93"/>
      <c r="G194" s="93"/>
      <c r="H194" s="93"/>
      <c r="I194" s="93"/>
      <c r="J194" s="50">
        <f>SUM(J190:J193)</f>
        <v>589035135</v>
      </c>
      <c r="K194" s="1"/>
      <c r="L194" s="107"/>
      <c r="M194" s="216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</row>
    <row r="195" spans="1:40">
      <c r="A195" s="44">
        <f t="shared" si="3"/>
        <v>154</v>
      </c>
      <c r="B195" s="3"/>
      <c r="C195" s="93"/>
      <c r="D195" s="1"/>
      <c r="E195" s="1"/>
      <c r="F195" s="1"/>
      <c r="G195" s="1"/>
      <c r="H195" s="140"/>
      <c r="I195" s="1"/>
      <c r="J195" s="1"/>
      <c r="K195" s="1"/>
      <c r="L195" s="107"/>
      <c r="M195" s="216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</row>
    <row r="196" spans="1:40" ht="15.75" thickBot="1">
      <c r="A196" s="44">
        <f t="shared" si="3"/>
        <v>155</v>
      </c>
      <c r="B196" s="3"/>
      <c r="C196" s="93"/>
      <c r="D196" s="4" t="s">
        <v>184</v>
      </c>
      <c r="E196" s="150" t="s">
        <v>185</v>
      </c>
      <c r="F196" s="119" t="s">
        <v>192</v>
      </c>
      <c r="G196" s="1"/>
      <c r="H196" s="119" t="s">
        <v>191</v>
      </c>
      <c r="I196" s="1"/>
      <c r="J196" s="119" t="s">
        <v>193</v>
      </c>
      <c r="K196" s="1"/>
      <c r="L196" s="107"/>
      <c r="M196" s="216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</row>
    <row r="197" spans="1:40" ht="15.75">
      <c r="A197" s="44">
        <f t="shared" si="3"/>
        <v>156</v>
      </c>
      <c r="B197" s="3"/>
      <c r="C197" s="2" t="s">
        <v>240</v>
      </c>
      <c r="D197" s="210" t="s">
        <v>301</v>
      </c>
      <c r="E197" s="180">
        <v>339934450</v>
      </c>
      <c r="F197" s="176">
        <v>0.43</v>
      </c>
      <c r="G197" s="177"/>
      <c r="H197" s="186">
        <f>IF(E197&gt;0,+J185/E197,0)</f>
        <v>6.0597921158035029E-2</v>
      </c>
      <c r="I197" s="3"/>
      <c r="J197" s="170">
        <f>H197*F197</f>
        <v>2.6057106097955061E-2</v>
      </c>
      <c r="K197" s="151"/>
      <c r="L197" s="107"/>
      <c r="M197" s="215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</row>
    <row r="198" spans="1:40">
      <c r="A198" s="44">
        <f t="shared" si="3"/>
        <v>157</v>
      </c>
      <c r="B198" s="3"/>
      <c r="C198" s="2" t="s">
        <v>241</v>
      </c>
      <c r="D198" s="118" t="s">
        <v>248</v>
      </c>
      <c r="E198" s="182">
        <v>0</v>
      </c>
      <c r="F198" s="176">
        <f>IF($E$200&gt;0,E198/$E$200,0)</f>
        <v>0</v>
      </c>
      <c r="G198" s="177"/>
      <c r="H198" s="170">
        <f>IF(E198&gt;0,J187/E198,0)</f>
        <v>0</v>
      </c>
      <c r="I198" s="3"/>
      <c r="J198" s="170">
        <f>H198*F198</f>
        <v>0</v>
      </c>
      <c r="K198" s="1"/>
      <c r="L198" s="107"/>
      <c r="M198" s="216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</row>
    <row r="199" spans="1:40" ht="15.75" thickBot="1">
      <c r="A199" s="44">
        <f t="shared" si="3"/>
        <v>158</v>
      </c>
      <c r="B199" s="3"/>
      <c r="C199" s="175" t="s">
        <v>254</v>
      </c>
      <c r="D199" s="118" t="str">
        <f>"(see above line "&amp;A194&amp;")"</f>
        <v>(see above line 153)</v>
      </c>
      <c r="E199" s="4">
        <f>+J194</f>
        <v>589035135</v>
      </c>
      <c r="F199" s="176">
        <v>0.56999999999999995</v>
      </c>
      <c r="G199" s="3" t="s">
        <v>122</v>
      </c>
      <c r="H199" s="170">
        <v>0.108</v>
      </c>
      <c r="I199" s="3" t="s">
        <v>122</v>
      </c>
      <c r="J199" s="178">
        <f>H199*F199</f>
        <v>6.1559999999999997E-2</v>
      </c>
      <c r="K199" s="1"/>
      <c r="L199" s="107"/>
      <c r="M199" s="216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</row>
    <row r="200" spans="1:40">
      <c r="A200" s="44">
        <f t="shared" si="3"/>
        <v>159</v>
      </c>
      <c r="B200" s="3"/>
      <c r="C200" s="93" t="str">
        <f>"Total  (sum lines "&amp;A197&amp;"-"&amp;A199&amp;")"</f>
        <v>Total  (sum lines 156-158)</v>
      </c>
      <c r="D200" s="3"/>
      <c r="E200" s="1">
        <f>E199+E198+E197</f>
        <v>928969585</v>
      </c>
      <c r="F200" s="1" t="s">
        <v>133</v>
      </c>
      <c r="G200" s="1"/>
      <c r="H200" s="1"/>
      <c r="I200" s="1" t="s">
        <v>270</v>
      </c>
      <c r="J200" s="170">
        <f>SUM(J197:J199)</f>
        <v>8.7617106097955061E-2</v>
      </c>
      <c r="K200" s="151"/>
      <c r="L200" s="107"/>
      <c r="M200" s="216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</row>
    <row r="201" spans="1:40">
      <c r="A201" s="44"/>
      <c r="B201" s="3"/>
      <c r="C201" s="93"/>
      <c r="D201" s="3"/>
      <c r="E201" s="1"/>
      <c r="F201" s="1"/>
      <c r="G201" s="1"/>
      <c r="H201" s="1"/>
      <c r="I201" s="98" t="s">
        <v>320</v>
      </c>
      <c r="J201" s="179">
        <f>J1</f>
        <v>45565</v>
      </c>
      <c r="K201" s="151"/>
      <c r="L201" s="107"/>
      <c r="M201" s="216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</row>
    <row r="202" spans="1:40">
      <c r="A202" s="3"/>
      <c r="B202" s="3"/>
      <c r="C202" s="3"/>
      <c r="D202" s="3"/>
      <c r="E202" s="3"/>
      <c r="F202" s="1"/>
      <c r="G202" s="1"/>
      <c r="I202" s="106" t="str">
        <f>$I$2</f>
        <v>Service Year</v>
      </c>
      <c r="J202" s="93">
        <f>$J$2</f>
        <v>2025</v>
      </c>
      <c r="L202" s="107"/>
      <c r="M202" s="216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</row>
    <row r="203" spans="1:40">
      <c r="A203" s="44"/>
      <c r="B203" s="3"/>
      <c r="C203" s="93"/>
      <c r="D203" s="93"/>
      <c r="E203" s="1"/>
      <c r="F203" s="1"/>
      <c r="G203" s="1"/>
      <c r="H203" s="1"/>
      <c r="I203" s="93"/>
      <c r="J203" s="1"/>
      <c r="K203" s="93"/>
      <c r="L203" s="107"/>
      <c r="M203" s="216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</row>
    <row r="204" spans="1:40" ht="15.75">
      <c r="A204" s="249" t="s">
        <v>238</v>
      </c>
      <c r="B204" s="249"/>
      <c r="C204" s="249"/>
      <c r="D204" s="249"/>
      <c r="E204" s="249"/>
      <c r="F204" s="249"/>
      <c r="G204" s="249"/>
      <c r="H204" s="249"/>
      <c r="I204" s="249"/>
      <c r="J204" s="249"/>
      <c r="K204" s="249"/>
      <c r="L204" s="107"/>
      <c r="M204" s="216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</row>
    <row r="205" spans="1:40" ht="15.75">
      <c r="A205" s="250" t="s">
        <v>134</v>
      </c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107"/>
      <c r="M205" s="216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</row>
    <row r="206" spans="1:40">
      <c r="A206" s="3"/>
      <c r="B206" s="3"/>
      <c r="C206" s="93"/>
      <c r="D206" s="93"/>
      <c r="F206" s="93"/>
      <c r="G206" s="93"/>
      <c r="H206" s="93"/>
      <c r="I206" s="93"/>
      <c r="J206" s="93"/>
      <c r="K206" s="93"/>
      <c r="L206" s="107"/>
      <c r="M206" s="216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</row>
    <row r="207" spans="1:40" ht="15.75">
      <c r="A207" s="248" t="s">
        <v>237</v>
      </c>
      <c r="B207" s="248"/>
      <c r="C207" s="248"/>
      <c r="D207" s="248"/>
      <c r="E207" s="248"/>
      <c r="F207" s="248"/>
      <c r="G207" s="248"/>
      <c r="H207" s="248"/>
      <c r="I207" s="248"/>
      <c r="J207" s="248"/>
      <c r="K207" s="248"/>
      <c r="L207" s="107"/>
      <c r="M207" s="216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</row>
    <row r="208" spans="1:40">
      <c r="A208" s="44"/>
      <c r="B208" s="2"/>
      <c r="C208" s="152"/>
      <c r="D208" s="44"/>
      <c r="E208" s="1"/>
      <c r="F208" s="1"/>
      <c r="G208" s="1"/>
      <c r="H208" s="1"/>
      <c r="I208" s="2"/>
      <c r="J208" s="153"/>
      <c r="K208" s="154"/>
      <c r="L208" s="107"/>
      <c r="M208" s="216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</row>
    <row r="209" spans="1:40">
      <c r="A209" s="44"/>
      <c r="B209" s="2"/>
      <c r="C209" s="2"/>
      <c r="D209" s="44"/>
      <c r="E209" s="1"/>
      <c r="F209" s="1"/>
      <c r="G209" s="1"/>
      <c r="H209" s="1"/>
      <c r="I209" s="2"/>
      <c r="J209" s="1"/>
      <c r="K209" s="2"/>
      <c r="L209" s="107"/>
      <c r="M209" s="216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</row>
    <row r="210" spans="1:40">
      <c r="A210" s="44" t="s">
        <v>194</v>
      </c>
      <c r="B210" s="2"/>
      <c r="C210" s="2"/>
      <c r="D210" s="2"/>
      <c r="E210" s="1"/>
      <c r="F210" s="1"/>
      <c r="G210" s="1"/>
      <c r="H210" s="1"/>
      <c r="I210" s="2"/>
      <c r="J210" s="1"/>
      <c r="K210" s="2"/>
      <c r="L210" s="107"/>
      <c r="M210" s="216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</row>
    <row r="211" spans="1:40" ht="15.75" thickBot="1">
      <c r="A211" s="119" t="s">
        <v>195</v>
      </c>
      <c r="B211" s="2"/>
      <c r="C211" s="2"/>
      <c r="D211" s="2"/>
      <c r="E211" s="1"/>
      <c r="F211" s="1"/>
      <c r="G211" s="1"/>
      <c r="H211" s="1"/>
      <c r="I211" s="2"/>
      <c r="J211" s="1"/>
      <c r="K211" s="2"/>
      <c r="L211" s="107"/>
      <c r="M211" s="216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</row>
    <row r="212" spans="1:40">
      <c r="A212" s="44"/>
      <c r="B212" s="2"/>
      <c r="C212" s="2"/>
      <c r="D212" s="2"/>
      <c r="E212" s="1"/>
      <c r="F212" s="1"/>
      <c r="G212" s="1"/>
      <c r="H212" s="1"/>
      <c r="I212" s="2"/>
      <c r="J212" s="1"/>
      <c r="K212" s="2"/>
      <c r="L212" s="107"/>
      <c r="M212" s="216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</row>
    <row r="213" spans="1:40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107"/>
      <c r="M213" s="216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</row>
    <row r="214" spans="1:40">
      <c r="A214" s="44" t="s">
        <v>196</v>
      </c>
      <c r="B214" s="2"/>
      <c r="C214" s="2" t="s">
        <v>272</v>
      </c>
      <c r="D214" s="2"/>
      <c r="E214" s="2"/>
      <c r="F214" s="2"/>
      <c r="G214" s="2"/>
      <c r="H214" s="2"/>
      <c r="I214" s="2"/>
      <c r="J214" s="2"/>
      <c r="K214" s="2"/>
      <c r="L214" s="107"/>
      <c r="M214" s="216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</row>
    <row r="215" spans="1:40">
      <c r="A215" s="44"/>
      <c r="B215" s="2"/>
      <c r="C215" s="2" t="s">
        <v>50</v>
      </c>
      <c r="D215" s="2"/>
      <c r="E215" s="2"/>
      <c r="F215" s="2"/>
      <c r="G215" s="2"/>
      <c r="H215" s="2"/>
      <c r="I215" s="2"/>
      <c r="J215" s="2"/>
      <c r="K215" s="2"/>
      <c r="L215" s="107"/>
      <c r="M215" s="216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</row>
    <row r="216" spans="1:40">
      <c r="A216" s="44"/>
      <c r="B216" s="2"/>
      <c r="C216" s="2" t="s">
        <v>78</v>
      </c>
      <c r="D216" s="2"/>
      <c r="E216" s="2"/>
      <c r="F216" s="2"/>
      <c r="G216" s="2"/>
      <c r="H216" s="2"/>
      <c r="I216" s="2"/>
      <c r="J216" s="2"/>
      <c r="K216" s="2"/>
      <c r="L216" s="107"/>
      <c r="M216" s="216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</row>
    <row r="217" spans="1:40">
      <c r="A217" s="44" t="s">
        <v>197</v>
      </c>
      <c r="B217" s="2"/>
      <c r="C217" s="2" t="s">
        <v>203</v>
      </c>
      <c r="D217" s="2"/>
      <c r="E217" s="2"/>
      <c r="F217" s="2"/>
      <c r="G217" s="2"/>
      <c r="H217" s="2"/>
      <c r="I217" s="2"/>
      <c r="J217" s="2"/>
      <c r="K217" s="2"/>
      <c r="L217" s="107"/>
      <c r="M217" s="216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</row>
    <row r="218" spans="1:40">
      <c r="A218" s="44" t="s">
        <v>198</v>
      </c>
      <c r="B218" s="2"/>
      <c r="C218" s="2" t="s">
        <v>42</v>
      </c>
      <c r="D218" s="2"/>
      <c r="E218" s="2"/>
      <c r="F218" s="2"/>
      <c r="G218" s="2"/>
      <c r="H218" s="2"/>
      <c r="I218" s="2"/>
      <c r="J218" s="2"/>
      <c r="K218" s="2"/>
      <c r="L218" s="107"/>
      <c r="M218" s="216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</row>
    <row r="219" spans="1:40">
      <c r="A219" s="44" t="s">
        <v>199</v>
      </c>
      <c r="B219" s="2"/>
      <c r="C219" s="2" t="s">
        <v>51</v>
      </c>
      <c r="D219" s="2"/>
      <c r="E219" s="2"/>
      <c r="F219" s="2"/>
      <c r="G219" s="2"/>
      <c r="H219" s="2"/>
      <c r="I219" s="2"/>
      <c r="J219" s="2"/>
      <c r="K219" s="2"/>
      <c r="L219" s="107"/>
      <c r="M219" s="216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</row>
    <row r="220" spans="1:40">
      <c r="A220" s="44" t="s">
        <v>200</v>
      </c>
      <c r="B220" s="2"/>
      <c r="C220" s="2" t="s">
        <v>306</v>
      </c>
      <c r="D220" s="2"/>
      <c r="E220" s="2"/>
      <c r="F220" s="2"/>
      <c r="G220" s="2"/>
      <c r="H220" s="2"/>
      <c r="I220" s="2"/>
      <c r="J220" s="2"/>
      <c r="K220" s="2"/>
      <c r="L220" s="107"/>
      <c r="M220" s="216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</row>
    <row r="221" spans="1:40">
      <c r="A221" s="44"/>
      <c r="B221" s="2"/>
      <c r="C221" s="3" t="s">
        <v>100</v>
      </c>
      <c r="D221" s="2"/>
      <c r="E221" s="2"/>
      <c r="F221" s="2"/>
      <c r="G221" s="2"/>
      <c r="H221" s="2"/>
      <c r="I221" s="2"/>
      <c r="J221" s="2"/>
      <c r="K221" s="2"/>
      <c r="L221" s="107"/>
      <c r="M221" s="216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</row>
    <row r="222" spans="1:40">
      <c r="A222" s="44" t="s">
        <v>201</v>
      </c>
      <c r="B222" s="2"/>
      <c r="C222" s="2" t="s">
        <v>206</v>
      </c>
      <c r="D222" s="2"/>
      <c r="E222" s="2"/>
      <c r="F222" s="2"/>
      <c r="G222" s="2"/>
      <c r="H222" s="2"/>
      <c r="I222" s="2"/>
      <c r="J222" s="2"/>
      <c r="K222" s="2"/>
      <c r="L222" s="107"/>
      <c r="M222" s="216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</row>
    <row r="223" spans="1:40">
      <c r="A223" s="44"/>
      <c r="B223" s="2"/>
      <c r="C223" s="2" t="s">
        <v>132</v>
      </c>
      <c r="D223" s="2"/>
      <c r="E223" s="2"/>
      <c r="F223" s="2"/>
      <c r="G223" s="2"/>
      <c r="H223" s="2"/>
      <c r="I223" s="2"/>
      <c r="J223" s="2"/>
      <c r="K223" s="2"/>
      <c r="L223" s="107"/>
      <c r="M223" s="216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</row>
    <row r="224" spans="1:40">
      <c r="A224" s="44"/>
      <c r="B224" s="2"/>
      <c r="C224" s="2" t="s">
        <v>229</v>
      </c>
      <c r="D224" s="2"/>
      <c r="E224" s="2"/>
      <c r="F224" s="2"/>
      <c r="G224" s="2"/>
      <c r="H224" s="2"/>
      <c r="I224" s="2"/>
      <c r="J224" s="2"/>
      <c r="K224" s="2"/>
      <c r="L224" s="107"/>
      <c r="M224" s="216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</row>
    <row r="225" spans="1:40">
      <c r="A225" s="44" t="s">
        <v>202</v>
      </c>
      <c r="B225" s="2"/>
      <c r="C225" s="2" t="s">
        <v>213</v>
      </c>
      <c r="D225" s="2"/>
      <c r="E225" s="2"/>
      <c r="F225" s="2"/>
      <c r="G225" s="2"/>
      <c r="H225" s="2"/>
      <c r="I225" s="2"/>
      <c r="J225" s="2"/>
      <c r="K225" s="2"/>
      <c r="L225" s="107"/>
      <c r="M225" s="216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</row>
    <row r="226" spans="1:40">
      <c r="A226" s="44"/>
      <c r="B226" s="2"/>
      <c r="C226" s="2" t="s">
        <v>215</v>
      </c>
      <c r="D226" s="2"/>
      <c r="E226" s="2"/>
      <c r="F226" s="2"/>
      <c r="G226" s="2"/>
      <c r="H226" s="2"/>
      <c r="I226" s="2"/>
      <c r="J226" s="2"/>
      <c r="K226" s="2"/>
      <c r="L226" s="107"/>
      <c r="M226" s="216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</row>
    <row r="227" spans="1:40">
      <c r="A227" s="44"/>
      <c r="B227" s="2"/>
      <c r="C227" s="2" t="s">
        <v>216</v>
      </c>
      <c r="D227" s="2"/>
      <c r="E227" s="2"/>
      <c r="F227" s="2"/>
      <c r="G227" s="2"/>
      <c r="H227" s="2"/>
      <c r="I227" s="2"/>
      <c r="J227" s="2"/>
      <c r="K227" s="2"/>
      <c r="L227" s="107"/>
      <c r="M227" s="216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</row>
    <row r="228" spans="1:40">
      <c r="A228" s="44"/>
      <c r="B228" s="2"/>
      <c r="C228" s="2" t="s">
        <v>217</v>
      </c>
      <c r="D228" s="2"/>
      <c r="E228" s="2"/>
      <c r="F228" s="2"/>
      <c r="G228" s="2"/>
      <c r="H228" s="2"/>
      <c r="I228" s="2"/>
      <c r="J228" s="2"/>
      <c r="K228" s="2"/>
      <c r="L228" s="107"/>
      <c r="M228" s="216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</row>
    <row r="229" spans="1:40">
      <c r="A229" s="44"/>
      <c r="B229" s="2"/>
      <c r="C229" s="2" t="s">
        <v>218</v>
      </c>
      <c r="D229" s="2"/>
      <c r="E229" s="2"/>
      <c r="F229" s="2"/>
      <c r="G229" s="2"/>
      <c r="H229" s="2"/>
      <c r="I229" s="2"/>
      <c r="J229" s="2"/>
      <c r="K229" s="2"/>
      <c r="L229" s="107"/>
      <c r="M229" s="216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</row>
    <row r="230" spans="1:40">
      <c r="A230" s="44"/>
      <c r="B230" s="2"/>
      <c r="C230" s="2" t="s">
        <v>79</v>
      </c>
      <c r="D230" s="2"/>
      <c r="E230" s="2"/>
      <c r="F230" s="2"/>
      <c r="G230" s="2"/>
      <c r="H230" s="2"/>
      <c r="I230" s="2"/>
      <c r="J230" s="2"/>
      <c r="K230" s="2"/>
      <c r="L230" s="107"/>
      <c r="M230" s="216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</row>
    <row r="231" spans="1:40">
      <c r="A231" s="44" t="s">
        <v>133</v>
      </c>
      <c r="B231" s="2"/>
      <c r="C231" s="2" t="s">
        <v>226</v>
      </c>
      <c r="D231" s="2" t="s">
        <v>219</v>
      </c>
      <c r="E231" s="189">
        <v>0.21</v>
      </c>
      <c r="F231" s="2"/>
      <c r="G231" s="2"/>
      <c r="H231" s="2"/>
      <c r="I231" s="2"/>
      <c r="J231" s="2"/>
      <c r="K231" s="2"/>
      <c r="L231" s="107"/>
      <c r="M231" s="216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</row>
    <row r="232" spans="1:40">
      <c r="A232" s="44"/>
      <c r="B232" s="2"/>
      <c r="C232" s="2"/>
      <c r="D232" s="2" t="s">
        <v>220</v>
      </c>
      <c r="E232" s="155">
        <v>0</v>
      </c>
      <c r="F232" s="2" t="s">
        <v>221</v>
      </c>
      <c r="G232" s="2"/>
      <c r="H232" s="2"/>
      <c r="I232" s="2"/>
      <c r="J232" s="2"/>
      <c r="K232" s="2"/>
      <c r="L232" s="107"/>
      <c r="M232" s="216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</row>
    <row r="233" spans="1:40">
      <c r="A233" s="44"/>
      <c r="B233" s="2"/>
      <c r="C233" s="2"/>
      <c r="D233" s="2" t="s">
        <v>222</v>
      </c>
      <c r="E233" s="155">
        <v>0</v>
      </c>
      <c r="F233" s="2" t="s">
        <v>223</v>
      </c>
      <c r="G233" s="2"/>
      <c r="H233" s="2"/>
      <c r="I233" s="2"/>
      <c r="J233" s="2"/>
      <c r="K233" s="2"/>
      <c r="L233" s="107"/>
      <c r="M233" s="216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</row>
    <row r="234" spans="1:40">
      <c r="A234" s="156" t="s">
        <v>204</v>
      </c>
      <c r="B234" s="3"/>
      <c r="C234" s="3" t="s">
        <v>378</v>
      </c>
      <c r="D234" s="3"/>
      <c r="E234" s="3"/>
      <c r="F234" s="3"/>
      <c r="G234" s="3"/>
      <c r="H234" s="3"/>
      <c r="I234" s="3"/>
      <c r="J234" s="3"/>
      <c r="K234" s="3"/>
    </row>
    <row r="235" spans="1:40" ht="15" customHeight="1">
      <c r="A235" s="157" t="s">
        <v>205</v>
      </c>
      <c r="C235" s="2" t="s">
        <v>32</v>
      </c>
    </row>
    <row r="236" spans="1:40">
      <c r="C236" t="s">
        <v>378</v>
      </c>
    </row>
    <row r="237" spans="1:40">
      <c r="A237" s="157" t="s">
        <v>393</v>
      </c>
      <c r="C237" s="2" t="s">
        <v>394</v>
      </c>
    </row>
  </sheetData>
  <mergeCells count="13">
    <mergeCell ref="A4:K4"/>
    <mergeCell ref="A5:K5"/>
    <mergeCell ref="A7:K7"/>
    <mergeCell ref="A72:K72"/>
    <mergeCell ref="A73:K73"/>
    <mergeCell ref="A75:K75"/>
    <mergeCell ref="A204:K204"/>
    <mergeCell ref="A205:K205"/>
    <mergeCell ref="A207:K207"/>
    <mergeCell ref="A132:K132"/>
    <mergeCell ref="A127:K127"/>
    <mergeCell ref="A128:K128"/>
    <mergeCell ref="A130:K130"/>
  </mergeCells>
  <phoneticPr fontId="14" type="noConversion"/>
  <printOptions horizontalCentered="1"/>
  <pageMargins left="0.5" right="0.5" top="0.75" bottom="0.75" header="0.5" footer="0.5"/>
  <pageSetup scale="54" fitToHeight="5" orientation="portrait" r:id="rId1"/>
  <headerFooter alignWithMargins="0">
    <oddHeader>&amp;C&amp;"Arial MT,Bold"ACTUAL SERVICE YEAR ATRR
BLACK HILLS POWER, INC.&amp;R&amp;10Page &amp;P of &amp;N</oddHeader>
    <oddFooter xml:space="preserve">&amp;L&amp;9
</oddFooter>
  </headerFooter>
  <rowBreaks count="3" manualBreakCount="3">
    <brk id="68" max="12" man="1"/>
    <brk id="124" max="10" man="1"/>
    <brk id="20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5"/>
  <sheetViews>
    <sheetView zoomScale="80" zoomScaleNormal="80" workbookViewId="0">
      <selection activeCell="B31" sqref="B31:J42"/>
    </sheetView>
  </sheetViews>
  <sheetFormatPr defaultColWidth="7.109375" defaultRowHeight="15.75"/>
  <cols>
    <col min="1" max="1" width="3.44140625" style="221" customWidth="1"/>
    <col min="2" max="2" width="4.109375" style="221" customWidth="1"/>
    <col min="3" max="3" width="4.5546875" style="221" customWidth="1"/>
    <col min="4" max="4" width="49.21875" style="222" customWidth="1"/>
    <col min="5" max="5" width="12.44140625" style="222" bestFit="1" customWidth="1"/>
    <col min="6" max="6" width="17.44140625" style="221" bestFit="1" customWidth="1"/>
    <col min="7" max="7" width="9.44140625" style="221" customWidth="1"/>
    <col min="8" max="8" width="11.21875" style="221" customWidth="1"/>
    <col min="9" max="16384" width="7.109375" style="221"/>
  </cols>
  <sheetData>
    <row r="1" spans="2:9">
      <c r="F1" s="254" t="s">
        <v>341</v>
      </c>
      <c r="G1" s="254"/>
    </row>
    <row r="2" spans="2:9" ht="46.5" customHeight="1">
      <c r="B2" s="252" t="s">
        <v>340</v>
      </c>
      <c r="C2" s="253"/>
      <c r="D2" s="253"/>
      <c r="E2" s="253"/>
      <c r="F2" s="253"/>
      <c r="G2" s="253"/>
    </row>
    <row r="3" spans="2:9">
      <c r="F3" s="224"/>
    </row>
    <row r="4" spans="2:9">
      <c r="B4" s="225" t="s">
        <v>135</v>
      </c>
    </row>
    <row r="5" spans="2:9">
      <c r="B5" s="226" t="s">
        <v>136</v>
      </c>
      <c r="F5" s="227" t="s">
        <v>339</v>
      </c>
    </row>
    <row r="6" spans="2:9">
      <c r="B6" s="225">
        <v>1</v>
      </c>
      <c r="C6" s="228" t="s">
        <v>381</v>
      </c>
      <c r="D6" s="221"/>
      <c r="E6" s="221"/>
      <c r="F6" s="229" t="s">
        <v>333</v>
      </c>
    </row>
    <row r="7" spans="2:9">
      <c r="B7" s="225">
        <f t="shared" ref="B7:B38" si="0">+B6+1</f>
        <v>2</v>
      </c>
      <c r="D7" s="274">
        <v>45261</v>
      </c>
      <c r="E7" s="275"/>
      <c r="F7" s="232">
        <v>115461.37</v>
      </c>
      <c r="G7" s="275"/>
    </row>
    <row r="8" spans="2:9">
      <c r="B8" s="225">
        <f t="shared" si="0"/>
        <v>3</v>
      </c>
      <c r="D8" s="274">
        <v>45292</v>
      </c>
      <c r="E8" s="275"/>
      <c r="F8" s="232">
        <v>309396.7300000001</v>
      </c>
      <c r="G8" s="275"/>
    </row>
    <row r="9" spans="2:9">
      <c r="B9" s="225">
        <f t="shared" si="0"/>
        <v>4</v>
      </c>
      <c r="D9" s="274">
        <v>45323</v>
      </c>
      <c r="E9" s="275"/>
      <c r="F9" s="232">
        <v>111773.97000000003</v>
      </c>
      <c r="G9" s="275"/>
      <c r="I9" s="231"/>
    </row>
    <row r="10" spans="2:9">
      <c r="B10" s="225">
        <f t="shared" si="0"/>
        <v>5</v>
      </c>
      <c r="D10" s="274">
        <v>45352</v>
      </c>
      <c r="E10" s="275"/>
      <c r="F10" s="232">
        <v>141516.81999999998</v>
      </c>
      <c r="G10" s="275"/>
      <c r="I10" s="231"/>
    </row>
    <row r="11" spans="2:9">
      <c r="B11" s="225">
        <f t="shared" si="0"/>
        <v>6</v>
      </c>
      <c r="D11" s="274">
        <v>45383</v>
      </c>
      <c r="E11" s="275"/>
      <c r="F11" s="232">
        <v>51190.010000000009</v>
      </c>
      <c r="G11" s="275"/>
      <c r="I11" s="231"/>
    </row>
    <row r="12" spans="2:9">
      <c r="B12" s="225">
        <f t="shared" si="0"/>
        <v>7</v>
      </c>
      <c r="D12" s="274">
        <v>45413</v>
      </c>
      <c r="E12" s="275"/>
      <c r="F12" s="232">
        <v>-21570.47</v>
      </c>
      <c r="G12" s="275"/>
      <c r="I12" s="231"/>
    </row>
    <row r="13" spans="2:9">
      <c r="B13" s="225">
        <f t="shared" si="0"/>
        <v>8</v>
      </c>
      <c r="C13" s="228"/>
      <c r="D13" s="274">
        <v>45444</v>
      </c>
      <c r="E13" s="275"/>
      <c r="F13" s="232">
        <v>74433.930000000022</v>
      </c>
      <c r="G13" s="275"/>
      <c r="I13" s="231"/>
    </row>
    <row r="14" spans="2:9">
      <c r="B14" s="225">
        <f t="shared" si="0"/>
        <v>9</v>
      </c>
      <c r="D14" s="274">
        <v>45474</v>
      </c>
      <c r="E14" s="275"/>
      <c r="F14" s="232">
        <v>18004.910000000003</v>
      </c>
      <c r="G14" s="275"/>
      <c r="I14" s="231"/>
    </row>
    <row r="15" spans="2:9">
      <c r="B15" s="225">
        <f t="shared" si="0"/>
        <v>10</v>
      </c>
      <c r="D15" s="274">
        <v>45505</v>
      </c>
      <c r="E15" s="275"/>
      <c r="F15" s="232">
        <v>0</v>
      </c>
      <c r="G15" s="275"/>
      <c r="I15" s="231"/>
    </row>
    <row r="16" spans="2:9">
      <c r="B16" s="225">
        <f t="shared" si="0"/>
        <v>11</v>
      </c>
      <c r="D16" s="274">
        <v>45536</v>
      </c>
      <c r="E16" s="275"/>
      <c r="F16" s="232">
        <v>0</v>
      </c>
      <c r="G16" s="275"/>
      <c r="I16" s="231"/>
    </row>
    <row r="17" spans="2:9">
      <c r="B17" s="225">
        <f t="shared" si="0"/>
        <v>12</v>
      </c>
      <c r="D17" s="274">
        <v>45566</v>
      </c>
      <c r="E17" s="275"/>
      <c r="F17" s="232">
        <v>0</v>
      </c>
      <c r="G17" s="275"/>
      <c r="I17" s="231"/>
    </row>
    <row r="18" spans="2:9">
      <c r="B18" s="225">
        <f t="shared" si="0"/>
        <v>13</v>
      </c>
      <c r="D18" s="274">
        <v>45597</v>
      </c>
      <c r="E18" s="275"/>
      <c r="F18" s="232">
        <v>0</v>
      </c>
      <c r="G18" s="275"/>
      <c r="I18" s="231"/>
    </row>
    <row r="19" spans="2:9">
      <c r="B19" s="225">
        <f t="shared" si="0"/>
        <v>14</v>
      </c>
      <c r="D19" s="274">
        <v>45627</v>
      </c>
      <c r="E19" s="275"/>
      <c r="F19" s="232">
        <v>0</v>
      </c>
      <c r="G19" s="275"/>
      <c r="I19" s="231"/>
    </row>
    <row r="20" spans="2:9">
      <c r="B20" s="225">
        <f t="shared" si="0"/>
        <v>15</v>
      </c>
      <c r="C20" s="228" t="s">
        <v>382</v>
      </c>
      <c r="D20" s="275"/>
      <c r="E20" s="275"/>
      <c r="F20" s="233">
        <f>SUM(F7:F19)</f>
        <v>800207.27000000014</v>
      </c>
      <c r="G20" s="275"/>
      <c r="I20" s="231"/>
    </row>
    <row r="21" spans="2:9">
      <c r="B21" s="225">
        <f t="shared" si="0"/>
        <v>16</v>
      </c>
      <c r="D21" s="275" t="s">
        <v>338</v>
      </c>
      <c r="E21" s="275"/>
      <c r="F21" s="276">
        <f>'BHP WP5 Depreciation Rates'!H21</f>
        <v>2.3199999999999998E-2</v>
      </c>
      <c r="G21" s="275"/>
      <c r="I21" s="231"/>
    </row>
    <row r="22" spans="2:9" ht="16.5" thickBot="1">
      <c r="B22" s="225">
        <f t="shared" si="0"/>
        <v>17</v>
      </c>
      <c r="C22" s="228" t="str">
        <f>"Annual Transmisison Depreciation Expense (line "&amp;B20&amp;" x line "&amp;B21&amp;")"</f>
        <v>Annual Transmisison Depreciation Expense (line 15 x line 16)</v>
      </c>
      <c r="D22" s="275"/>
      <c r="E22" s="275"/>
      <c r="F22" s="235">
        <f>+F20*F21</f>
        <v>18564.808664</v>
      </c>
      <c r="G22" s="275"/>
      <c r="I22" s="231"/>
    </row>
    <row r="23" spans="2:9" ht="16.5" thickTop="1">
      <c r="B23" s="225">
        <f t="shared" si="0"/>
        <v>18</v>
      </c>
      <c r="D23" s="232"/>
      <c r="E23" s="232"/>
      <c r="F23" s="275"/>
      <c r="G23" s="275"/>
    </row>
    <row r="24" spans="2:9">
      <c r="B24" s="225">
        <f t="shared" si="0"/>
        <v>19</v>
      </c>
      <c r="D24" s="232"/>
      <c r="E24" s="277" t="s">
        <v>337</v>
      </c>
      <c r="F24" s="275" t="s">
        <v>336</v>
      </c>
      <c r="G24" s="275"/>
    </row>
    <row r="25" spans="2:9">
      <c r="B25" s="225">
        <f t="shared" si="0"/>
        <v>20</v>
      </c>
      <c r="C25" s="282"/>
      <c r="D25" s="278"/>
      <c r="E25" s="279" t="s">
        <v>335</v>
      </c>
      <c r="F25" s="280" t="s">
        <v>334</v>
      </c>
      <c r="G25" s="275"/>
    </row>
    <row r="26" spans="2:9">
      <c r="B26" s="225">
        <f t="shared" si="0"/>
        <v>21</v>
      </c>
      <c r="C26" s="282" t="s">
        <v>383</v>
      </c>
      <c r="D26" s="278"/>
      <c r="E26" s="279" t="s">
        <v>333</v>
      </c>
      <c r="F26" s="280" t="s">
        <v>332</v>
      </c>
      <c r="G26" s="275"/>
      <c r="I26" s="231"/>
    </row>
    <row r="27" spans="2:9">
      <c r="B27" s="225">
        <f t="shared" si="0"/>
        <v>22</v>
      </c>
      <c r="C27" s="275"/>
      <c r="D27" s="278"/>
      <c r="E27" s="278"/>
      <c r="F27" s="232"/>
      <c r="G27" s="275"/>
    </row>
    <row r="28" spans="2:9">
      <c r="B28" s="225">
        <f t="shared" si="0"/>
        <v>23</v>
      </c>
      <c r="C28" s="275"/>
      <c r="D28" s="283" t="s">
        <v>385</v>
      </c>
      <c r="E28" s="232">
        <f>Estimate!E16+F8</f>
        <v>299035828.38754338</v>
      </c>
      <c r="F28" s="232">
        <f>(+E28*$F$21)/12</f>
        <v>578135.9348825838</v>
      </c>
      <c r="G28" s="275"/>
      <c r="I28" s="231"/>
    </row>
    <row r="29" spans="2:9">
      <c r="B29" s="225">
        <f t="shared" si="0"/>
        <v>24</v>
      </c>
      <c r="D29" s="283">
        <v>45323</v>
      </c>
      <c r="E29" s="232">
        <f>+E28+F9</f>
        <v>299147602.35754341</v>
      </c>
      <c r="F29" s="232">
        <f>(+E29*$F$21)/12</f>
        <v>578352.03122458386</v>
      </c>
      <c r="G29" s="275"/>
      <c r="I29" s="231"/>
    </row>
    <row r="30" spans="2:9">
      <c r="B30" s="225">
        <f t="shared" si="0"/>
        <v>25</v>
      </c>
      <c r="D30" s="283">
        <v>45352</v>
      </c>
      <c r="E30" s="232">
        <f>+E29+F10</f>
        <v>299289119.1775434</v>
      </c>
      <c r="F30" s="232">
        <f t="shared" ref="F30:F38" si="1">(+E30*$F$21)/12</f>
        <v>578625.63040991721</v>
      </c>
      <c r="G30" s="275"/>
      <c r="I30" s="231"/>
    </row>
    <row r="31" spans="2:9">
      <c r="B31" s="225">
        <f t="shared" si="0"/>
        <v>26</v>
      </c>
      <c r="D31" s="283">
        <v>45383</v>
      </c>
      <c r="E31" s="232">
        <f>+E30+F11</f>
        <v>299340309.18754339</v>
      </c>
      <c r="F31" s="232">
        <f t="shared" si="1"/>
        <v>578724.59776258387</v>
      </c>
      <c r="G31" s="275"/>
      <c r="I31" s="231"/>
    </row>
    <row r="32" spans="2:9">
      <c r="B32" s="225">
        <f t="shared" si="0"/>
        <v>27</v>
      </c>
      <c r="D32" s="283">
        <v>45413</v>
      </c>
      <c r="E32" s="232">
        <f t="shared" ref="E32:E37" si="2">+E31+F12</f>
        <v>299318738.71754336</v>
      </c>
      <c r="F32" s="232">
        <f t="shared" si="1"/>
        <v>578682.89485391707</v>
      </c>
      <c r="G32" s="275"/>
      <c r="I32" s="231"/>
    </row>
    <row r="33" spans="2:9">
      <c r="B33" s="225">
        <f t="shared" si="0"/>
        <v>28</v>
      </c>
      <c r="D33" s="283">
        <v>45444</v>
      </c>
      <c r="E33" s="232">
        <f t="shared" si="2"/>
        <v>299393172.64754337</v>
      </c>
      <c r="F33" s="232">
        <f t="shared" si="1"/>
        <v>578826.80045191711</v>
      </c>
      <c r="G33" s="275"/>
      <c r="I33" s="231"/>
    </row>
    <row r="34" spans="2:9">
      <c r="B34" s="225">
        <f t="shared" si="0"/>
        <v>29</v>
      </c>
      <c r="D34" s="283">
        <v>45474</v>
      </c>
      <c r="E34" s="232">
        <f t="shared" si="2"/>
        <v>299411177.5575434</v>
      </c>
      <c r="F34" s="232">
        <f t="shared" si="1"/>
        <v>578861.60994458385</v>
      </c>
      <c r="G34" s="275"/>
      <c r="I34" s="231"/>
    </row>
    <row r="35" spans="2:9">
      <c r="B35" s="225">
        <f t="shared" si="0"/>
        <v>30</v>
      </c>
      <c r="D35" s="283">
        <v>45505</v>
      </c>
      <c r="E35" s="232">
        <f t="shared" si="2"/>
        <v>299411177.5575434</v>
      </c>
      <c r="F35" s="232">
        <f t="shared" si="1"/>
        <v>578861.60994458385</v>
      </c>
      <c r="G35" s="275"/>
      <c r="I35" s="231"/>
    </row>
    <row r="36" spans="2:9">
      <c r="B36" s="225">
        <f t="shared" si="0"/>
        <v>31</v>
      </c>
      <c r="D36" s="283">
        <v>45536</v>
      </c>
      <c r="E36" s="232">
        <f t="shared" si="2"/>
        <v>299411177.5575434</v>
      </c>
      <c r="F36" s="232">
        <f t="shared" si="1"/>
        <v>578861.60994458385</v>
      </c>
      <c r="G36" s="275"/>
      <c r="I36" s="231"/>
    </row>
    <row r="37" spans="2:9">
      <c r="B37" s="225">
        <f t="shared" si="0"/>
        <v>32</v>
      </c>
      <c r="D37" s="283">
        <v>45566</v>
      </c>
      <c r="E37" s="232">
        <f t="shared" si="2"/>
        <v>299411177.5575434</v>
      </c>
      <c r="F37" s="232">
        <f t="shared" si="1"/>
        <v>578861.60994458385</v>
      </c>
      <c r="G37" s="275"/>
      <c r="I37" s="231"/>
    </row>
    <row r="38" spans="2:9">
      <c r="B38" s="225">
        <f t="shared" si="0"/>
        <v>33</v>
      </c>
      <c r="D38" s="283">
        <v>45597</v>
      </c>
      <c r="E38" s="232">
        <f>+E37+F18</f>
        <v>299411177.5575434</v>
      </c>
      <c r="F38" s="232">
        <f t="shared" si="1"/>
        <v>578861.60994458385</v>
      </c>
      <c r="G38" s="275"/>
      <c r="I38" s="231"/>
    </row>
    <row r="39" spans="2:9">
      <c r="B39" s="225">
        <f t="shared" ref="B39:B57" si="3">+B38+1</f>
        <v>34</v>
      </c>
      <c r="D39" s="283">
        <v>45627</v>
      </c>
      <c r="E39" s="232">
        <f>+E38+F19</f>
        <v>299411177.5575434</v>
      </c>
      <c r="F39" s="232">
        <f>(+E39*$F$21)/12</f>
        <v>578861.60994458385</v>
      </c>
      <c r="G39" s="275"/>
      <c r="I39" s="231"/>
    </row>
    <row r="40" spans="2:9">
      <c r="B40" s="225">
        <f t="shared" si="3"/>
        <v>35</v>
      </c>
      <c r="D40" s="281" t="s">
        <v>386</v>
      </c>
      <c r="E40" s="232"/>
      <c r="F40" s="233">
        <f>SUM(F28:F39)</f>
        <v>6944517.5492530055</v>
      </c>
      <c r="G40" s="275"/>
    </row>
    <row r="41" spans="2:9">
      <c r="B41" s="225">
        <f t="shared" si="3"/>
        <v>36</v>
      </c>
      <c r="C41" s="221" t="s">
        <v>387</v>
      </c>
      <c r="D41" s="237"/>
      <c r="E41" s="230"/>
      <c r="F41" s="232"/>
    </row>
    <row r="42" spans="2:9">
      <c r="B42" s="225">
        <f t="shared" si="3"/>
        <v>37</v>
      </c>
      <c r="D42" s="283">
        <v>45658</v>
      </c>
      <c r="E42" s="230">
        <f>+E39+'BHP WP3 Capital Additions'!D10</f>
        <v>299411177.5575434</v>
      </c>
      <c r="F42" s="232">
        <f t="shared" ref="F42:F53" si="4">(+E42*$F$21)/12</f>
        <v>578861.60994458385</v>
      </c>
      <c r="G42" s="238"/>
      <c r="I42" s="231"/>
    </row>
    <row r="43" spans="2:9">
      <c r="B43" s="225">
        <f t="shared" si="3"/>
        <v>38</v>
      </c>
      <c r="D43" s="283">
        <v>45689</v>
      </c>
      <c r="E43" s="230">
        <f>+E42+'BHP WP3 Capital Additions'!D11</f>
        <v>299411177.5575434</v>
      </c>
      <c r="F43" s="232">
        <f t="shared" si="4"/>
        <v>578861.60994458385</v>
      </c>
      <c r="G43" s="238"/>
      <c r="I43" s="231"/>
    </row>
    <row r="44" spans="2:9">
      <c r="B44" s="225">
        <f t="shared" si="3"/>
        <v>39</v>
      </c>
      <c r="D44" s="283">
        <v>45717</v>
      </c>
      <c r="E44" s="230">
        <f>+E43+'BHP WP3 Capital Additions'!D12</f>
        <v>299411177.5575434</v>
      </c>
      <c r="F44" s="232">
        <f t="shared" si="4"/>
        <v>578861.60994458385</v>
      </c>
      <c r="G44" s="238"/>
      <c r="I44" s="231"/>
    </row>
    <row r="45" spans="2:9">
      <c r="B45" s="225">
        <f t="shared" si="3"/>
        <v>40</v>
      </c>
      <c r="D45" s="283">
        <v>45748</v>
      </c>
      <c r="E45" s="230">
        <f>+E44+'BHP WP3 Capital Additions'!D13</f>
        <v>299411177.5575434</v>
      </c>
      <c r="F45" s="232">
        <f t="shared" si="4"/>
        <v>578861.60994458385</v>
      </c>
      <c r="G45" s="238"/>
      <c r="I45" s="231"/>
    </row>
    <row r="46" spans="2:9">
      <c r="B46" s="225">
        <f t="shared" si="3"/>
        <v>41</v>
      </c>
      <c r="D46" s="283">
        <v>45778</v>
      </c>
      <c r="E46" s="230">
        <f>+E45+'BHP WP3 Capital Additions'!D14</f>
        <v>299411177.5575434</v>
      </c>
      <c r="F46" s="232">
        <f t="shared" si="4"/>
        <v>578861.60994458385</v>
      </c>
      <c r="G46" s="238"/>
      <c r="I46" s="231"/>
    </row>
    <row r="47" spans="2:9">
      <c r="B47" s="225">
        <f t="shared" si="3"/>
        <v>42</v>
      </c>
      <c r="D47" s="283">
        <v>45809</v>
      </c>
      <c r="E47" s="230">
        <f>+E46+'BHP WP3 Capital Additions'!D15</f>
        <v>299411177.5575434</v>
      </c>
      <c r="F47" s="232">
        <f t="shared" si="4"/>
        <v>578861.60994458385</v>
      </c>
      <c r="G47" s="238"/>
      <c r="I47" s="231"/>
    </row>
    <row r="48" spans="2:9">
      <c r="B48" s="225">
        <f t="shared" si="3"/>
        <v>43</v>
      </c>
      <c r="D48" s="283">
        <v>45839</v>
      </c>
      <c r="E48" s="230">
        <f>+E47+'BHP WP3 Capital Additions'!D16</f>
        <v>299411177.5575434</v>
      </c>
      <c r="F48" s="232">
        <f t="shared" si="4"/>
        <v>578861.60994458385</v>
      </c>
      <c r="G48" s="238"/>
      <c r="I48" s="231"/>
    </row>
    <row r="49" spans="2:9">
      <c r="B49" s="225">
        <f t="shared" si="3"/>
        <v>44</v>
      </c>
      <c r="D49" s="283">
        <v>45870</v>
      </c>
      <c r="E49" s="230">
        <f>+E48+'BHP WP3 Capital Additions'!D17</f>
        <v>299411177.5575434</v>
      </c>
      <c r="F49" s="232">
        <f t="shared" si="4"/>
        <v>578861.60994458385</v>
      </c>
      <c r="G49" s="238"/>
      <c r="I49" s="231"/>
    </row>
    <row r="50" spans="2:9">
      <c r="B50" s="225">
        <f t="shared" si="3"/>
        <v>45</v>
      </c>
      <c r="D50" s="283">
        <v>45901</v>
      </c>
      <c r="E50" s="230">
        <f>+E49+'BHP WP3 Capital Additions'!D18</f>
        <v>299411177.5575434</v>
      </c>
      <c r="F50" s="232">
        <f t="shared" si="4"/>
        <v>578861.60994458385</v>
      </c>
      <c r="G50" s="238"/>
      <c r="I50" s="231"/>
    </row>
    <row r="51" spans="2:9">
      <c r="B51" s="225">
        <f t="shared" si="3"/>
        <v>46</v>
      </c>
      <c r="D51" s="283">
        <v>45931</v>
      </c>
      <c r="E51" s="230">
        <f>+E50+'BHP WP3 Capital Additions'!D19</f>
        <v>299411177.5575434</v>
      </c>
      <c r="F51" s="232">
        <f t="shared" si="4"/>
        <v>578861.60994458385</v>
      </c>
      <c r="G51" s="238"/>
      <c r="I51" s="231"/>
    </row>
    <row r="52" spans="2:9">
      <c r="B52" s="225">
        <f t="shared" si="3"/>
        <v>47</v>
      </c>
      <c r="D52" s="283">
        <v>45962</v>
      </c>
      <c r="E52" s="230">
        <f>+E51+'BHP WP3 Capital Additions'!D20</f>
        <v>299411177.5575434</v>
      </c>
      <c r="F52" s="232">
        <f t="shared" si="4"/>
        <v>578861.60994458385</v>
      </c>
      <c r="G52" s="238"/>
      <c r="I52" s="231"/>
    </row>
    <row r="53" spans="2:9">
      <c r="B53" s="225">
        <f t="shared" si="3"/>
        <v>48</v>
      </c>
      <c r="D53" s="283">
        <v>45992</v>
      </c>
      <c r="E53" s="230">
        <f>+E52+'BHP WP3 Capital Additions'!D21</f>
        <v>299411177.5575434</v>
      </c>
      <c r="F53" s="232">
        <f t="shared" si="4"/>
        <v>578861.60994458385</v>
      </c>
      <c r="G53" s="238"/>
      <c r="I53" s="231"/>
    </row>
    <row r="54" spans="2:9">
      <c r="B54" s="225">
        <f t="shared" si="3"/>
        <v>49</v>
      </c>
      <c r="D54" s="236" t="str">
        <f>"Subtotal of 2025 Increase for Accumulated Depreciation (lines "&amp;B42&amp;"-"&amp;B53&amp;")"</f>
        <v>Subtotal of 2025 Increase for Accumulated Depreciation (lines 37-48)</v>
      </c>
      <c r="F54" s="239">
        <f>SUM(F42:F53)</f>
        <v>6946339.3193350062</v>
      </c>
      <c r="I54" s="231"/>
    </row>
    <row r="55" spans="2:9">
      <c r="B55" s="225">
        <f t="shared" si="3"/>
        <v>50</v>
      </c>
      <c r="D55" s="240" t="str">
        <f>"Average 2025 Impact for rate base consideration (line "&amp;B54&amp;" ÷ 2)"</f>
        <v>Average 2025 Impact for rate base consideration (line 49 ÷ 2)</v>
      </c>
      <c r="F55" s="230">
        <f>+F54/2</f>
        <v>3473169.6596675031</v>
      </c>
      <c r="I55" s="231"/>
    </row>
    <row r="56" spans="2:9">
      <c r="B56" s="225">
        <f t="shared" si="3"/>
        <v>51</v>
      </c>
    </row>
    <row r="57" spans="2:9" ht="16.5" thickBot="1">
      <c r="B57" s="225">
        <f t="shared" si="3"/>
        <v>52</v>
      </c>
      <c r="D57" s="240" t="str">
        <f>"Total Accumulated Depreciation for 2024 &amp; 2025 (lines "&amp;B40&amp;" + "&amp;B55&amp;")"</f>
        <v>Total Accumulated Depreciation for 2024 &amp; 2025 (lines 35 + 50)</v>
      </c>
      <c r="F57" s="241">
        <f>+F40+F55</f>
        <v>10417687.208920509</v>
      </c>
      <c r="I57" s="231"/>
    </row>
    <row r="58" spans="2:9" ht="16.5" thickTop="1">
      <c r="B58" s="225"/>
    </row>
    <row r="59" spans="2:9">
      <c r="B59" s="225"/>
    </row>
    <row r="60" spans="2:9">
      <c r="B60" s="225"/>
    </row>
    <row r="61" spans="2:9">
      <c r="B61" s="225"/>
    </row>
    <row r="62" spans="2:9">
      <c r="B62" s="225"/>
    </row>
    <row r="114" spans="7:8">
      <c r="G114" s="221" t="s">
        <v>138</v>
      </c>
      <c r="H114" s="221">
        <f>+J183</f>
        <v>0</v>
      </c>
    </row>
    <row r="115" spans="7:8">
      <c r="H115" s="221">
        <f>+H114</f>
        <v>0</v>
      </c>
    </row>
  </sheetData>
  <mergeCells count="2">
    <mergeCell ref="B2:G2"/>
    <mergeCell ref="F1:G1"/>
  </mergeCells>
  <printOptions horizontalCentered="1"/>
  <pageMargins left="0.5" right="0.25" top="1" bottom="0.5" header="0.5" footer="0.5"/>
  <pageSetup scale="88" orientation="portrait" r:id="rId1"/>
  <headerFooter alignWithMargins="0">
    <oddHeader>&amp;C&amp;"Arial MT,Bold"ESTIMATED SERVICE YEAR ATRR
BLACK HILLS POWER, INC.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0"/>
  <sheetViews>
    <sheetView zoomScale="80" zoomScaleNormal="80" workbookViewId="0">
      <selection activeCell="B31" sqref="B31:J42"/>
    </sheetView>
  </sheetViews>
  <sheetFormatPr defaultColWidth="7.109375" defaultRowHeight="15.75"/>
  <cols>
    <col min="1" max="1" width="3.5546875" style="221" customWidth="1"/>
    <col min="2" max="2" width="1.77734375" style="221" customWidth="1"/>
    <col min="3" max="3" width="43.5546875" style="222" customWidth="1"/>
    <col min="4" max="4" width="10.77734375" style="221" customWidth="1"/>
    <col min="5" max="5" width="9.44140625" style="221" customWidth="1"/>
    <col min="6" max="6" width="14.109375" style="221" bestFit="1" customWidth="1"/>
    <col min="7" max="8" width="7.109375" style="221"/>
    <col min="9" max="9" width="10.77734375" style="221" bestFit="1" customWidth="1"/>
    <col min="10" max="16384" width="7.109375" style="221"/>
  </cols>
  <sheetData>
    <row r="1" spans="1:9">
      <c r="F1" s="221" t="s">
        <v>350</v>
      </c>
    </row>
    <row r="2" spans="1:9" ht="48.75" customHeight="1">
      <c r="A2" s="252" t="s">
        <v>349</v>
      </c>
      <c r="B2" s="253"/>
      <c r="C2" s="253"/>
      <c r="D2" s="253"/>
      <c r="E2" s="253"/>
      <c r="F2" s="253"/>
    </row>
    <row r="3" spans="1:9">
      <c r="A3" s="225" t="s">
        <v>135</v>
      </c>
      <c r="B3" s="225"/>
      <c r="C3" s="225"/>
    </row>
    <row r="4" spans="1:9">
      <c r="A4" s="226" t="s">
        <v>136</v>
      </c>
      <c r="B4" s="225"/>
      <c r="C4" s="225"/>
    </row>
    <row r="5" spans="1:9">
      <c r="A5" s="225">
        <v>1</v>
      </c>
      <c r="B5" s="253" t="s">
        <v>384</v>
      </c>
      <c r="C5" s="253"/>
      <c r="D5" s="253"/>
      <c r="E5" s="253"/>
      <c r="F5" s="253"/>
      <c r="I5" s="231"/>
    </row>
    <row r="6" spans="1:9">
      <c r="A6" s="225">
        <v>2</v>
      </c>
      <c r="B6" s="223"/>
      <c r="C6" s="223"/>
      <c r="D6" s="223"/>
      <c r="E6" s="223"/>
    </row>
    <row r="7" spans="1:9">
      <c r="A7" s="225">
        <v>3</v>
      </c>
      <c r="C7" s="242" t="s">
        <v>337</v>
      </c>
      <c r="D7" s="242" t="s">
        <v>348</v>
      </c>
      <c r="E7" s="242" t="s">
        <v>347</v>
      </c>
      <c r="F7" s="242" t="s">
        <v>346</v>
      </c>
    </row>
    <row r="8" spans="1:9" ht="31.5">
      <c r="A8" s="225">
        <v>4</v>
      </c>
      <c r="B8" s="228" t="s">
        <v>345</v>
      </c>
      <c r="E8" s="222" t="s">
        <v>344</v>
      </c>
      <c r="F8" s="243" t="s">
        <v>343</v>
      </c>
    </row>
    <row r="9" spans="1:9">
      <c r="A9" s="225">
        <v>5</v>
      </c>
      <c r="C9" s="274">
        <v>45627</v>
      </c>
      <c r="D9" s="232">
        <v>0</v>
      </c>
      <c r="E9" s="244">
        <v>12</v>
      </c>
      <c r="F9" s="230">
        <f t="shared" ref="F9:F21" si="0">(+D9*E9)/12</f>
        <v>0</v>
      </c>
      <c r="I9" s="231"/>
    </row>
    <row r="10" spans="1:9">
      <c r="A10" s="225">
        <v>6</v>
      </c>
      <c r="C10" s="274">
        <v>45658</v>
      </c>
      <c r="D10" s="232">
        <v>0</v>
      </c>
      <c r="E10" s="244">
        <v>11.5</v>
      </c>
      <c r="F10" s="230">
        <f t="shared" si="0"/>
        <v>0</v>
      </c>
      <c r="I10" s="231"/>
    </row>
    <row r="11" spans="1:9">
      <c r="A11" s="225">
        <v>7</v>
      </c>
      <c r="C11" s="274">
        <v>45689</v>
      </c>
      <c r="D11" s="232">
        <v>0</v>
      </c>
      <c r="E11" s="244">
        <v>10.5</v>
      </c>
      <c r="F11" s="230">
        <f t="shared" si="0"/>
        <v>0</v>
      </c>
      <c r="I11" s="231"/>
    </row>
    <row r="12" spans="1:9">
      <c r="A12" s="225">
        <v>8</v>
      </c>
      <c r="C12" s="274">
        <v>45717</v>
      </c>
      <c r="D12" s="232">
        <v>0</v>
      </c>
      <c r="E12" s="244">
        <v>9.5</v>
      </c>
      <c r="F12" s="230">
        <f t="shared" si="0"/>
        <v>0</v>
      </c>
      <c r="I12" s="231"/>
    </row>
    <row r="13" spans="1:9">
      <c r="A13" s="225">
        <v>9</v>
      </c>
      <c r="C13" s="274">
        <v>45748</v>
      </c>
      <c r="D13" s="232">
        <v>0</v>
      </c>
      <c r="E13" s="244">
        <v>8.5</v>
      </c>
      <c r="F13" s="230">
        <f t="shared" si="0"/>
        <v>0</v>
      </c>
      <c r="I13" s="231"/>
    </row>
    <row r="14" spans="1:9">
      <c r="A14" s="225">
        <v>10</v>
      </c>
      <c r="C14" s="274">
        <v>45778</v>
      </c>
      <c r="D14" s="232">
        <v>0</v>
      </c>
      <c r="E14" s="244">
        <v>7.5</v>
      </c>
      <c r="F14" s="230">
        <f t="shared" si="0"/>
        <v>0</v>
      </c>
      <c r="I14" s="231"/>
    </row>
    <row r="15" spans="1:9">
      <c r="A15" s="225">
        <v>11</v>
      </c>
      <c r="C15" s="274">
        <v>45809</v>
      </c>
      <c r="D15" s="232">
        <v>0</v>
      </c>
      <c r="E15" s="244">
        <v>6.5</v>
      </c>
      <c r="F15" s="230">
        <f t="shared" si="0"/>
        <v>0</v>
      </c>
      <c r="I15" s="231"/>
    </row>
    <row r="16" spans="1:9">
      <c r="A16" s="225">
        <v>12</v>
      </c>
      <c r="C16" s="274">
        <v>45839</v>
      </c>
      <c r="D16" s="232">
        <v>0</v>
      </c>
      <c r="E16" s="244">
        <v>5.5</v>
      </c>
      <c r="F16" s="230">
        <f t="shared" si="0"/>
        <v>0</v>
      </c>
      <c r="I16" s="231"/>
    </row>
    <row r="17" spans="1:10">
      <c r="A17" s="225">
        <v>13</v>
      </c>
      <c r="C17" s="274">
        <v>45870</v>
      </c>
      <c r="D17" s="232">
        <v>0</v>
      </c>
      <c r="E17" s="244">
        <v>4.5</v>
      </c>
      <c r="F17" s="230">
        <f t="shared" si="0"/>
        <v>0</v>
      </c>
      <c r="I17" s="231"/>
    </row>
    <row r="18" spans="1:10">
      <c r="A18" s="225">
        <v>14</v>
      </c>
      <c r="C18" s="274">
        <v>45901</v>
      </c>
      <c r="D18" s="232">
        <v>0</v>
      </c>
      <c r="E18" s="244">
        <v>3.5</v>
      </c>
      <c r="F18" s="230">
        <f t="shared" si="0"/>
        <v>0</v>
      </c>
      <c r="I18" s="231"/>
    </row>
    <row r="19" spans="1:10">
      <c r="A19" s="225">
        <v>15</v>
      </c>
      <c r="C19" s="274">
        <v>45931</v>
      </c>
      <c r="D19" s="232">
        <v>0</v>
      </c>
      <c r="E19" s="244">
        <v>2.5</v>
      </c>
      <c r="F19" s="230">
        <f t="shared" si="0"/>
        <v>0</v>
      </c>
      <c r="I19" s="231"/>
    </row>
    <row r="20" spans="1:10">
      <c r="A20" s="225">
        <v>16</v>
      </c>
      <c r="C20" s="274">
        <v>45962</v>
      </c>
      <c r="D20" s="232">
        <v>0</v>
      </c>
      <c r="E20" s="244">
        <v>1.5</v>
      </c>
      <c r="F20" s="230">
        <f t="shared" si="0"/>
        <v>0</v>
      </c>
      <c r="I20" s="231"/>
    </row>
    <row r="21" spans="1:10">
      <c r="A21" s="225">
        <v>17</v>
      </c>
      <c r="C21" s="274">
        <v>45992</v>
      </c>
      <c r="D21" s="232">
        <v>0</v>
      </c>
      <c r="E21" s="244">
        <v>0.5</v>
      </c>
      <c r="F21" s="230">
        <f t="shared" si="0"/>
        <v>0</v>
      </c>
      <c r="I21" s="231"/>
      <c r="J21" s="245"/>
    </row>
    <row r="22" spans="1:10">
      <c r="A22" s="225">
        <v>18</v>
      </c>
      <c r="D22" s="246"/>
      <c r="F22" s="246"/>
    </row>
    <row r="23" spans="1:10">
      <c r="A23" s="225">
        <v>19</v>
      </c>
      <c r="B23" s="228"/>
      <c r="D23" s="238">
        <f>SUM(D9:D22)</f>
        <v>0</v>
      </c>
      <c r="F23" s="238">
        <f>SUM(F9:F22)</f>
        <v>0</v>
      </c>
    </row>
    <row r="24" spans="1:10">
      <c r="A24" s="225">
        <v>20</v>
      </c>
    </row>
    <row r="25" spans="1:10">
      <c r="A25" s="225">
        <v>21</v>
      </c>
      <c r="C25" s="221" t="s">
        <v>338</v>
      </c>
      <c r="F25" s="234">
        <f>'BHP WP2 Capital Additions'!F21</f>
        <v>2.3199999999999998E-2</v>
      </c>
      <c r="I25" s="231"/>
    </row>
    <row r="26" spans="1:10">
      <c r="A26" s="225">
        <v>22</v>
      </c>
      <c r="C26" s="221"/>
      <c r="F26" s="230"/>
    </row>
    <row r="27" spans="1:10" ht="16.5" thickBot="1">
      <c r="A27" s="225">
        <v>23</v>
      </c>
      <c r="C27" s="221" t="s">
        <v>342</v>
      </c>
      <c r="F27" s="235">
        <f>+F23*F25</f>
        <v>0</v>
      </c>
      <c r="I27" s="231"/>
    </row>
    <row r="28" spans="1:10" ht="16.5" thickTop="1">
      <c r="A28" s="225">
        <v>24</v>
      </c>
    </row>
    <row r="29" spans="1:10">
      <c r="A29" s="225">
        <v>25</v>
      </c>
    </row>
    <row r="30" spans="1:10" ht="12.75" customHeight="1">
      <c r="A30" s="225">
        <v>26</v>
      </c>
      <c r="D30" s="222"/>
      <c r="E30" s="222"/>
    </row>
    <row r="31" spans="1:10">
      <c r="A31" s="225">
        <v>27</v>
      </c>
    </row>
    <row r="32" spans="1:10">
      <c r="A32" s="225"/>
    </row>
    <row r="33" spans="1:4">
      <c r="A33" s="225"/>
    </row>
    <row r="34" spans="1:4">
      <c r="A34" s="225"/>
      <c r="D34" s="238"/>
    </row>
    <row r="35" spans="1:4">
      <c r="A35" s="225"/>
    </row>
    <row r="36" spans="1:4">
      <c r="A36" s="225"/>
    </row>
    <row r="37" spans="1:4">
      <c r="A37" s="225"/>
    </row>
    <row r="38" spans="1:4">
      <c r="A38" s="225"/>
    </row>
    <row r="109" spans="6:7">
      <c r="F109" s="221" t="s">
        <v>138</v>
      </c>
      <c r="G109" s="221">
        <f>+I178</f>
        <v>0</v>
      </c>
    </row>
    <row r="110" spans="6:7">
      <c r="G110" s="221">
        <f>+G109</f>
        <v>0</v>
      </c>
    </row>
  </sheetData>
  <mergeCells count="2">
    <mergeCell ref="B5:F5"/>
    <mergeCell ref="A2:F2"/>
  </mergeCells>
  <printOptions horizontalCentered="1"/>
  <pageMargins left="0.75" right="0.75" top="1" bottom="1" header="0.5" footer="0.5"/>
  <pageSetup scale="92" orientation="portrait" r:id="rId1"/>
  <headerFooter alignWithMargins="0">
    <oddHeader xml:space="preserve">&amp;C&amp;"Arial MT,Bold"ESTIMATED SERVICE YEAR ATRR
BLACK HILLS POWER, INC.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7"/>
  <sheetViews>
    <sheetView zoomScaleNormal="100" workbookViewId="0">
      <selection activeCell="B31" sqref="B31:J42"/>
    </sheetView>
  </sheetViews>
  <sheetFormatPr defaultColWidth="7.109375" defaultRowHeight="12.75"/>
  <cols>
    <col min="1" max="1" width="10.109375" style="21" customWidth="1"/>
    <col min="2" max="2" width="3.5546875" style="21" customWidth="1"/>
    <col min="3" max="4" width="1.77734375" style="21" customWidth="1"/>
    <col min="5" max="5" width="4" style="21" customWidth="1"/>
    <col min="6" max="6" width="24.109375" style="21" customWidth="1"/>
    <col min="7" max="7" width="1.77734375" style="21" customWidth="1"/>
    <col min="8" max="8" width="8.109375" style="24" customWidth="1"/>
    <col min="9" max="9" width="8.109375" style="21" customWidth="1"/>
    <col min="10" max="16384" width="7.109375" style="21"/>
  </cols>
  <sheetData>
    <row r="2" spans="1:10">
      <c r="I2" s="21" t="s">
        <v>360</v>
      </c>
    </row>
    <row r="3" spans="1:10" ht="40.5" customHeight="1">
      <c r="B3" s="256" t="s">
        <v>361</v>
      </c>
      <c r="C3" s="255"/>
      <c r="D3" s="255"/>
      <c r="E3" s="255"/>
      <c r="F3" s="255"/>
      <c r="G3" s="255"/>
      <c r="H3" s="255"/>
    </row>
    <row r="4" spans="1:10">
      <c r="J4" s="193"/>
    </row>
    <row r="7" spans="1:10">
      <c r="F7" s="57"/>
    </row>
    <row r="8" spans="1:10">
      <c r="A8" s="255"/>
      <c r="B8" s="255"/>
      <c r="C8" s="255"/>
      <c r="D8" s="255"/>
      <c r="E8" s="255"/>
      <c r="F8" s="255"/>
      <c r="G8" s="255"/>
      <c r="H8" s="255"/>
    </row>
    <row r="9" spans="1:10">
      <c r="B9" s="22" t="s">
        <v>135</v>
      </c>
      <c r="H9" s="96" t="s">
        <v>319</v>
      </c>
    </row>
    <row r="10" spans="1:10">
      <c r="B10" s="51" t="s">
        <v>136</v>
      </c>
      <c r="D10" s="54" t="s">
        <v>255</v>
      </c>
      <c r="E10" s="54"/>
      <c r="F10" s="54"/>
      <c r="H10" s="55" t="s">
        <v>122</v>
      </c>
    </row>
    <row r="11" spans="1:10">
      <c r="B11" s="22">
        <v>1</v>
      </c>
    </row>
    <row r="12" spans="1:10">
      <c r="B12" s="22">
        <v>2</v>
      </c>
      <c r="D12" s="23" t="s">
        <v>77</v>
      </c>
      <c r="E12" s="23"/>
    </row>
    <row r="13" spans="1:10">
      <c r="B13" s="22">
        <v>3</v>
      </c>
    </row>
    <row r="14" spans="1:10">
      <c r="B14" s="22">
        <v>4</v>
      </c>
      <c r="E14" s="21">
        <v>350</v>
      </c>
      <c r="F14" s="21" t="s">
        <v>256</v>
      </c>
      <c r="H14" s="97">
        <v>0</v>
      </c>
    </row>
    <row r="15" spans="1:10">
      <c r="B15" s="22">
        <v>5</v>
      </c>
      <c r="E15" s="21">
        <v>352</v>
      </c>
      <c r="F15" s="21" t="s">
        <v>257</v>
      </c>
      <c r="H15" s="97">
        <v>2.3900000000000001E-2</v>
      </c>
    </row>
    <row r="16" spans="1:10">
      <c r="B16" s="22">
        <v>6</v>
      </c>
      <c r="E16" s="21">
        <v>353</v>
      </c>
      <c r="F16" s="21" t="s">
        <v>258</v>
      </c>
      <c r="H16" s="97">
        <v>2.6599999999999999E-2</v>
      </c>
    </row>
    <row r="17" spans="2:8">
      <c r="B17" s="22">
        <v>7</v>
      </c>
      <c r="E17" s="21">
        <v>354</v>
      </c>
      <c r="F17" s="21" t="s">
        <v>259</v>
      </c>
      <c r="H17" s="97">
        <v>2.0400000000000001E-2</v>
      </c>
    </row>
    <row r="18" spans="2:8">
      <c r="B18" s="22">
        <v>8</v>
      </c>
      <c r="E18" s="21">
        <v>355</v>
      </c>
      <c r="F18" s="21" t="s">
        <v>260</v>
      </c>
      <c r="H18" s="97">
        <v>2.2200000000000001E-2</v>
      </c>
    </row>
    <row r="19" spans="2:8">
      <c r="B19" s="22">
        <v>9</v>
      </c>
      <c r="E19" s="21">
        <v>356</v>
      </c>
      <c r="F19" s="21" t="s">
        <v>261</v>
      </c>
      <c r="H19" s="97">
        <v>2.0400000000000001E-2</v>
      </c>
    </row>
    <row r="20" spans="2:8">
      <c r="B20" s="22">
        <v>10</v>
      </c>
      <c r="E20" s="21">
        <v>359</v>
      </c>
      <c r="F20" s="21" t="s">
        <v>262</v>
      </c>
      <c r="H20" s="97">
        <v>1.95E-2</v>
      </c>
    </row>
    <row r="21" spans="2:8">
      <c r="B21" s="22">
        <v>11</v>
      </c>
      <c r="F21" s="21" t="s">
        <v>4</v>
      </c>
      <c r="H21" s="97">
        <v>2.3199999999999998E-2</v>
      </c>
    </row>
    <row r="22" spans="2:8">
      <c r="B22" s="22">
        <v>12</v>
      </c>
      <c r="H22" s="97"/>
    </row>
    <row r="23" spans="2:8">
      <c r="B23" s="22">
        <v>13</v>
      </c>
      <c r="D23" s="23" t="s">
        <v>66</v>
      </c>
      <c r="H23" s="97"/>
    </row>
    <row r="24" spans="2:8">
      <c r="B24" s="22">
        <v>14</v>
      </c>
      <c r="H24" s="97"/>
    </row>
    <row r="25" spans="2:8">
      <c r="B25" s="22">
        <v>15</v>
      </c>
      <c r="E25" s="21">
        <v>389</v>
      </c>
      <c r="F25" s="89" t="s">
        <v>256</v>
      </c>
      <c r="H25" s="97">
        <v>0</v>
      </c>
    </row>
    <row r="26" spans="2:8">
      <c r="B26" s="22">
        <v>16</v>
      </c>
      <c r="E26" s="21">
        <v>390</v>
      </c>
      <c r="F26" s="21" t="s">
        <v>257</v>
      </c>
      <c r="H26" s="97">
        <v>4.7300000000000002E-2</v>
      </c>
    </row>
    <row r="27" spans="2:8">
      <c r="B27" s="22">
        <v>17</v>
      </c>
      <c r="E27" s="21">
        <v>391</v>
      </c>
      <c r="F27" s="21" t="s">
        <v>263</v>
      </c>
      <c r="H27" s="97">
        <v>0.1056</v>
      </c>
    </row>
    <row r="28" spans="2:8">
      <c r="B28" s="22">
        <v>18</v>
      </c>
      <c r="E28" s="21">
        <v>392</v>
      </c>
      <c r="F28" s="21" t="s">
        <v>264</v>
      </c>
      <c r="H28" s="97">
        <v>9.06E-2</v>
      </c>
    </row>
    <row r="29" spans="2:8">
      <c r="B29" s="22">
        <v>19</v>
      </c>
      <c r="E29" s="21">
        <v>393</v>
      </c>
      <c r="F29" s="21" t="s">
        <v>265</v>
      </c>
      <c r="H29" s="97">
        <v>4.2299999999999997E-2</v>
      </c>
    </row>
    <row r="30" spans="2:8">
      <c r="B30" s="22">
        <v>20</v>
      </c>
      <c r="E30" s="21">
        <v>394</v>
      </c>
      <c r="F30" s="21" t="s">
        <v>12</v>
      </c>
      <c r="H30" s="97">
        <v>4.2299999999999997E-2</v>
      </c>
    </row>
    <row r="31" spans="2:8">
      <c r="B31" s="22">
        <v>21</v>
      </c>
      <c r="E31" s="21">
        <v>395</v>
      </c>
      <c r="F31" s="21" t="s">
        <v>266</v>
      </c>
      <c r="H31" s="97">
        <v>3.0599999999999999E-2</v>
      </c>
    </row>
    <row r="32" spans="2:8">
      <c r="B32" s="22">
        <v>22</v>
      </c>
      <c r="E32" s="21">
        <v>396</v>
      </c>
      <c r="F32" s="21" t="s">
        <v>267</v>
      </c>
      <c r="H32" s="97">
        <v>4.2299999999999997E-2</v>
      </c>
    </row>
    <row r="33" spans="2:8">
      <c r="B33" s="22">
        <v>23</v>
      </c>
      <c r="E33" s="21">
        <v>397</v>
      </c>
      <c r="F33" s="21" t="s">
        <v>268</v>
      </c>
      <c r="H33" s="97">
        <v>4.3900000000000002E-2</v>
      </c>
    </row>
    <row r="34" spans="2:8">
      <c r="B34" s="22">
        <v>24</v>
      </c>
      <c r="E34" s="21">
        <v>398</v>
      </c>
      <c r="F34" s="21" t="s">
        <v>269</v>
      </c>
      <c r="H34" s="97">
        <v>5.8099999999999999E-2</v>
      </c>
    </row>
    <row r="35" spans="2:8">
      <c r="B35" s="22">
        <v>25</v>
      </c>
      <c r="F35" s="21" t="s">
        <v>11</v>
      </c>
      <c r="H35" s="97">
        <v>6.5299999999999997E-2</v>
      </c>
    </row>
    <row r="36" spans="2:8">
      <c r="B36" s="22">
        <v>26</v>
      </c>
    </row>
    <row r="37" spans="2:8">
      <c r="B37" s="22">
        <v>27</v>
      </c>
      <c r="D37" s="21" t="s">
        <v>375</v>
      </c>
      <c r="E37" s="56"/>
    </row>
  </sheetData>
  <mergeCells count="2">
    <mergeCell ref="A8:H8"/>
    <mergeCell ref="B3:H3"/>
  </mergeCells>
  <phoneticPr fontId="14" type="noConversion"/>
  <pageMargins left="1" right="1" top="0.75" bottom="0.75" header="0.5" footer="0.5"/>
  <pageSetup orientation="portrait" r:id="rId1"/>
  <headerFooter alignWithMargins="0">
    <oddHeader>&amp;L&amp;8 2016 BHP-Workpaper 5 Rate True-Up&amp;C&amp;"Arial MT,Bold"
WORKPAPER 5
BLACK HILLS POWER, INC.&amp;R&amp;10Page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Q65"/>
  <sheetViews>
    <sheetView zoomScale="70" zoomScaleNormal="70" zoomScaleSheetLayoutView="85" workbookViewId="0">
      <selection activeCell="B31" sqref="B31:J42"/>
    </sheetView>
  </sheetViews>
  <sheetFormatPr defaultColWidth="8.77734375" defaultRowHeight="15"/>
  <cols>
    <col min="1" max="1" width="6" customWidth="1"/>
    <col min="2" max="2" width="1.44140625" customWidth="1"/>
    <col min="3" max="3" width="36" customWidth="1"/>
    <col min="4" max="4" width="25.77734375" customWidth="1"/>
    <col min="5" max="5" width="15.109375" customWidth="1"/>
    <col min="6" max="12" width="15.77734375" customWidth="1"/>
    <col min="13" max="13" width="14.77734375" bestFit="1" customWidth="1"/>
    <col min="14" max="18" width="15.77734375" customWidth="1"/>
    <col min="20" max="20" width="19.21875" bestFit="1" customWidth="1"/>
    <col min="21" max="21" width="16.21875" bestFit="1" customWidth="1"/>
    <col min="22" max="22" width="14.77734375" customWidth="1"/>
  </cols>
  <sheetData>
    <row r="2" spans="1:69" ht="15.75">
      <c r="A2" s="3"/>
      <c r="B2" s="3"/>
      <c r="C2" s="3"/>
      <c r="D2" s="62"/>
      <c r="E2" s="3"/>
      <c r="F2" s="3"/>
      <c r="G2" s="3"/>
      <c r="H2" s="3"/>
      <c r="I2" s="106"/>
      <c r="J2" s="3"/>
      <c r="K2" s="3"/>
      <c r="L2" s="3"/>
      <c r="O2" s="93"/>
      <c r="R2" s="199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</row>
    <row r="3" spans="1:6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3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</row>
    <row r="4" spans="1:69" ht="15" customHeight="1">
      <c r="A4" s="249" t="s">
        <v>238</v>
      </c>
      <c r="B4" s="249"/>
      <c r="C4" s="249"/>
      <c r="D4" s="249"/>
      <c r="E4" s="249"/>
      <c r="F4" s="249"/>
      <c r="G4" s="249"/>
      <c r="H4" s="249"/>
      <c r="I4" s="249"/>
      <c r="J4" s="249" t="s">
        <v>238</v>
      </c>
      <c r="K4" s="249"/>
      <c r="L4" s="249"/>
      <c r="M4" s="249"/>
      <c r="N4" s="249"/>
      <c r="O4" s="249"/>
      <c r="P4" s="249"/>
      <c r="Q4" s="249"/>
      <c r="R4" s="249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</row>
    <row r="5" spans="1:69" ht="15.75">
      <c r="A5" s="250" t="s">
        <v>134</v>
      </c>
      <c r="B5" s="250"/>
      <c r="C5" s="250"/>
      <c r="D5" s="250"/>
      <c r="E5" s="250"/>
      <c r="F5" s="250"/>
      <c r="G5" s="250"/>
      <c r="H5" s="250"/>
      <c r="I5" s="250"/>
      <c r="J5" s="250" t="s">
        <v>134</v>
      </c>
      <c r="K5" s="250"/>
      <c r="L5" s="250"/>
      <c r="M5" s="250"/>
      <c r="N5" s="250"/>
      <c r="O5" s="250"/>
      <c r="P5" s="250"/>
      <c r="Q5" s="250"/>
      <c r="R5" s="25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</row>
    <row r="6" spans="1:69">
      <c r="A6" s="3"/>
      <c r="B6" s="3"/>
      <c r="C6" s="93"/>
      <c r="D6" s="93"/>
      <c r="F6" s="93"/>
      <c r="G6" s="93"/>
      <c r="H6" s="93"/>
      <c r="I6" s="21" t="s">
        <v>352</v>
      </c>
      <c r="J6" s="3"/>
      <c r="K6" s="3"/>
      <c r="L6" s="93"/>
      <c r="M6" s="93"/>
      <c r="O6" s="93"/>
      <c r="P6" s="93"/>
      <c r="Q6" s="93"/>
      <c r="R6" s="93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</row>
    <row r="7" spans="1:69" ht="15" customHeight="1">
      <c r="A7" s="248" t="s">
        <v>237</v>
      </c>
      <c r="B7" s="248"/>
      <c r="C7" s="248"/>
      <c r="D7" s="248"/>
      <c r="E7" s="248"/>
      <c r="F7" s="248"/>
      <c r="G7" s="248"/>
      <c r="H7" s="248"/>
      <c r="I7" s="248"/>
      <c r="J7" s="248" t="s">
        <v>237</v>
      </c>
      <c r="K7" s="248"/>
      <c r="L7" s="248"/>
      <c r="M7" s="248"/>
      <c r="N7" s="248"/>
      <c r="O7" s="248"/>
      <c r="P7" s="248"/>
      <c r="Q7" s="248"/>
      <c r="R7" s="248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</row>
    <row r="8" spans="1:69">
      <c r="A8" s="44"/>
      <c r="B8" s="3"/>
      <c r="C8" s="93"/>
      <c r="D8" s="93"/>
      <c r="E8" s="110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</row>
    <row r="9" spans="1:69">
      <c r="A9" s="3"/>
      <c r="B9" s="3"/>
      <c r="C9" s="111"/>
      <c r="D9" s="111"/>
      <c r="E9" s="111"/>
      <c r="F9" s="1"/>
      <c r="G9" s="1"/>
      <c r="H9" s="1"/>
      <c r="I9" s="1"/>
      <c r="J9" s="1"/>
      <c r="K9" s="1"/>
      <c r="L9" s="111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</row>
    <row r="10" spans="1:69" ht="15.75">
      <c r="A10" s="3"/>
      <c r="B10" s="3"/>
      <c r="C10" s="93"/>
      <c r="D10" s="109" t="s">
        <v>144</v>
      </c>
      <c r="E10" s="1"/>
      <c r="F10" s="1"/>
      <c r="G10" s="1"/>
      <c r="H10" s="1"/>
      <c r="I10" s="1"/>
      <c r="J10" s="1"/>
      <c r="K10" s="1"/>
      <c r="L10" s="111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</row>
    <row r="11" spans="1:69" ht="15.75">
      <c r="A11" s="44" t="s">
        <v>135</v>
      </c>
      <c r="B11" s="3"/>
      <c r="C11" s="93"/>
      <c r="D11" s="115" t="s">
        <v>146</v>
      </c>
      <c r="E11" s="108" t="s">
        <v>147</v>
      </c>
      <c r="F11" s="116"/>
      <c r="G11" s="116"/>
      <c r="H11" s="116"/>
      <c r="I11" s="116"/>
      <c r="J11" s="116"/>
      <c r="K11" s="116"/>
      <c r="L11" s="111"/>
      <c r="O11" s="200"/>
      <c r="P11" s="200"/>
      <c r="Q11" s="201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</row>
    <row r="12" spans="1:69" ht="16.5" thickBot="1">
      <c r="A12" s="119" t="s">
        <v>136</v>
      </c>
      <c r="B12" s="3"/>
      <c r="C12" s="120" t="s">
        <v>149</v>
      </c>
      <c r="D12" s="1"/>
      <c r="E12" s="140" t="s">
        <v>15</v>
      </c>
      <c r="F12" s="140" t="s">
        <v>16</v>
      </c>
      <c r="G12" s="140" t="s">
        <v>17</v>
      </c>
      <c r="H12" s="140" t="s">
        <v>18</v>
      </c>
      <c r="I12" s="140" t="s">
        <v>19</v>
      </c>
      <c r="J12" s="140" t="s">
        <v>20</v>
      </c>
      <c r="K12" s="140" t="s">
        <v>21</v>
      </c>
      <c r="L12" s="140" t="s">
        <v>22</v>
      </c>
      <c r="M12" s="140" t="s">
        <v>109</v>
      </c>
      <c r="N12" s="140" t="s">
        <v>23</v>
      </c>
      <c r="O12" s="140" t="s">
        <v>24</v>
      </c>
      <c r="P12" s="140" t="s">
        <v>25</v>
      </c>
      <c r="Q12" s="140" t="s">
        <v>26</v>
      </c>
      <c r="R12" s="140" t="s">
        <v>27</v>
      </c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</row>
    <row r="13" spans="1:69">
      <c r="A13" s="44"/>
      <c r="B13" s="3"/>
      <c r="C13" s="93"/>
      <c r="D13" s="1"/>
      <c r="E13" s="213">
        <v>44896</v>
      </c>
      <c r="F13" s="213">
        <v>44927</v>
      </c>
      <c r="G13" s="213">
        <v>44958</v>
      </c>
      <c r="H13" s="213">
        <v>44986</v>
      </c>
      <c r="I13" s="213">
        <v>45017</v>
      </c>
      <c r="J13" s="213">
        <v>45047</v>
      </c>
      <c r="K13" s="213">
        <v>45078</v>
      </c>
      <c r="L13" s="213">
        <v>45108</v>
      </c>
      <c r="M13" s="213">
        <v>45139</v>
      </c>
      <c r="N13" s="213">
        <v>45170</v>
      </c>
      <c r="O13" s="213">
        <v>45200</v>
      </c>
      <c r="P13" s="213">
        <v>45231</v>
      </c>
      <c r="Q13" s="213">
        <v>45261</v>
      </c>
      <c r="R13" s="50" t="s">
        <v>14</v>
      </c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</row>
    <row r="14" spans="1:69">
      <c r="A14" s="44"/>
      <c r="B14" s="3"/>
      <c r="C14" s="93" t="s">
        <v>30</v>
      </c>
      <c r="D14" s="1" t="s">
        <v>316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S14" s="1"/>
      <c r="T14" s="1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</row>
    <row r="15" spans="1:69">
      <c r="A15" s="44">
        <v>1</v>
      </c>
      <c r="B15" s="3"/>
      <c r="C15" s="93" t="s">
        <v>151</v>
      </c>
      <c r="D15" s="1" t="s">
        <v>39</v>
      </c>
      <c r="E15" s="50">
        <v>710477040.59000003</v>
      </c>
      <c r="F15" s="50">
        <v>713430073.79000008</v>
      </c>
      <c r="G15" s="50">
        <v>713399826.25999999</v>
      </c>
      <c r="H15" s="50">
        <v>711387368.91999996</v>
      </c>
      <c r="I15" s="50">
        <v>715230918.46999991</v>
      </c>
      <c r="J15" s="50">
        <v>715549542.85000002</v>
      </c>
      <c r="K15" s="50">
        <v>716798721.2900002</v>
      </c>
      <c r="L15" s="50">
        <v>717886703.95000017</v>
      </c>
      <c r="M15" s="50">
        <v>719029210.34000015</v>
      </c>
      <c r="N15" s="50">
        <v>717185860.44000018</v>
      </c>
      <c r="O15" s="50">
        <v>720228680.11000013</v>
      </c>
      <c r="P15" s="50">
        <v>720502113.49000025</v>
      </c>
      <c r="Q15" s="50">
        <v>720000126.28000033</v>
      </c>
      <c r="R15" s="50">
        <f t="shared" ref="R15:R21" si="0">AVERAGE(E15:Q15)</f>
        <v>716238937.44461548</v>
      </c>
      <c r="S15" s="1"/>
      <c r="T15" s="3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</row>
    <row r="16" spans="1:69">
      <c r="A16" s="44">
        <f t="shared" ref="A16:A65" si="1">+A15+1</f>
        <v>2</v>
      </c>
      <c r="B16" s="3"/>
      <c r="C16" s="93" t="s">
        <v>153</v>
      </c>
      <c r="D16" s="1" t="s">
        <v>84</v>
      </c>
      <c r="E16" s="50">
        <v>277787054.88999999</v>
      </c>
      <c r="F16" s="50">
        <v>280083415.10999995</v>
      </c>
      <c r="G16" s="50">
        <v>292121685.81999999</v>
      </c>
      <c r="H16" s="50">
        <v>287658734.67000002</v>
      </c>
      <c r="I16" s="50">
        <v>291788443.74000001</v>
      </c>
      <c r="J16" s="50">
        <v>296409496.61000001</v>
      </c>
      <c r="K16" s="50">
        <v>297876969.25999999</v>
      </c>
      <c r="L16" s="50">
        <v>303558694.75999999</v>
      </c>
      <c r="M16" s="50">
        <v>303435912.23000002</v>
      </c>
      <c r="N16" s="50">
        <v>297515490.69000006</v>
      </c>
      <c r="O16" s="50">
        <v>298234559.95000005</v>
      </c>
      <c r="P16" s="50">
        <v>298746030.45000005</v>
      </c>
      <c r="Q16" s="50">
        <v>298726431.65754336</v>
      </c>
      <c r="R16" s="50">
        <f t="shared" si="0"/>
        <v>294149455.37211871</v>
      </c>
      <c r="S16" s="1"/>
      <c r="T16" s="3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</row>
    <row r="17" spans="1:69">
      <c r="A17" s="44">
        <f t="shared" si="1"/>
        <v>3</v>
      </c>
      <c r="B17" s="3"/>
      <c r="C17" s="93" t="s">
        <v>154</v>
      </c>
      <c r="D17" s="1" t="s">
        <v>85</v>
      </c>
      <c r="E17" s="50">
        <v>511089759.20999998</v>
      </c>
      <c r="F17" s="50">
        <v>518061830.54000008</v>
      </c>
      <c r="G17" s="50">
        <v>524236995.44999999</v>
      </c>
      <c r="H17" s="50">
        <v>522883698.45000005</v>
      </c>
      <c r="I17" s="50">
        <v>525661657.62</v>
      </c>
      <c r="J17" s="50">
        <v>525356783.89999992</v>
      </c>
      <c r="K17" s="50">
        <v>523444770.4460125</v>
      </c>
      <c r="L17" s="50">
        <v>526576272.48999995</v>
      </c>
      <c r="M17" s="50">
        <v>529455778.75999999</v>
      </c>
      <c r="N17" s="50">
        <v>531248794.70170391</v>
      </c>
      <c r="O17" s="50">
        <v>535395938.78000003</v>
      </c>
      <c r="P17" s="50">
        <v>538957313.1099999</v>
      </c>
      <c r="Q17" s="50">
        <v>539541946.36650956</v>
      </c>
      <c r="R17" s="50">
        <f t="shared" si="0"/>
        <v>527070118.44801736</v>
      </c>
      <c r="S17" s="1"/>
      <c r="T17" s="3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</row>
    <row r="18" spans="1:69">
      <c r="A18" s="44">
        <f t="shared" si="1"/>
        <v>4</v>
      </c>
      <c r="B18" s="3"/>
      <c r="C18" s="93" t="s">
        <v>155</v>
      </c>
      <c r="D18" s="1" t="s">
        <v>313</v>
      </c>
      <c r="E18" s="50">
        <v>66227852.809999995</v>
      </c>
      <c r="F18" s="50">
        <v>66430933.429999992</v>
      </c>
      <c r="G18" s="50">
        <v>66310718.229999989</v>
      </c>
      <c r="H18" s="50">
        <v>66405958.269999988</v>
      </c>
      <c r="I18" s="50">
        <v>66699264.219999999</v>
      </c>
      <c r="J18" s="50">
        <v>66707169.080000013</v>
      </c>
      <c r="K18" s="50">
        <v>66401637.320000067</v>
      </c>
      <c r="L18" s="50">
        <v>67595584.710000008</v>
      </c>
      <c r="M18" s="50">
        <v>68108998.500000045</v>
      </c>
      <c r="N18" s="50">
        <v>68208239.040000051</v>
      </c>
      <c r="O18" s="50">
        <v>68231749.120000049</v>
      </c>
      <c r="P18" s="50">
        <v>68322173.400000006</v>
      </c>
      <c r="Q18" s="50">
        <v>70254998.269999996</v>
      </c>
      <c r="R18" s="50">
        <f t="shared" si="0"/>
        <v>67377328.953846157</v>
      </c>
      <c r="S18" s="1"/>
      <c r="T18" s="3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</row>
    <row r="19" spans="1:69">
      <c r="A19" s="44">
        <f t="shared" si="1"/>
        <v>5</v>
      </c>
      <c r="B19" s="3"/>
      <c r="C19" s="93" t="s">
        <v>101</v>
      </c>
      <c r="D19" s="1" t="s">
        <v>328</v>
      </c>
      <c r="E19" s="50">
        <v>28110437</v>
      </c>
      <c r="F19" s="50">
        <v>28524496</v>
      </c>
      <c r="G19" s="50">
        <v>28544918</v>
      </c>
      <c r="H19" s="50">
        <v>28954340</v>
      </c>
      <c r="I19" s="50">
        <v>29138134</v>
      </c>
      <c r="J19" s="50">
        <v>28953252</v>
      </c>
      <c r="K19" s="50">
        <v>28969463</v>
      </c>
      <c r="L19" s="50">
        <v>29151818</v>
      </c>
      <c r="M19" s="50">
        <v>29948943</v>
      </c>
      <c r="N19" s="50">
        <v>29887279</v>
      </c>
      <c r="O19" s="50">
        <v>30301039</v>
      </c>
      <c r="P19" s="50">
        <v>30439235</v>
      </c>
      <c r="Q19" s="50">
        <v>34146719</v>
      </c>
      <c r="R19" s="50">
        <f t="shared" si="0"/>
        <v>29620774.846153848</v>
      </c>
      <c r="S19" s="1"/>
      <c r="T19" s="3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</row>
    <row r="20" spans="1:69" ht="15.75">
      <c r="A20" s="44">
        <f t="shared" si="1"/>
        <v>6</v>
      </c>
      <c r="B20" s="3"/>
      <c r="C20" s="93" t="s">
        <v>68</v>
      </c>
      <c r="D20" s="1" t="s">
        <v>67</v>
      </c>
      <c r="E20" s="50">
        <v>6864775.2599999998</v>
      </c>
      <c r="F20" s="50">
        <v>6892103.1900000013</v>
      </c>
      <c r="G20" s="50">
        <v>7157235.6700000018</v>
      </c>
      <c r="H20" s="50">
        <v>7150446.5800000019</v>
      </c>
      <c r="I20" s="50">
        <v>7183675.910000002</v>
      </c>
      <c r="J20" s="50">
        <v>7149369.2400000021</v>
      </c>
      <c r="K20" s="50">
        <v>7152553.8300000019</v>
      </c>
      <c r="L20" s="50">
        <v>7152935.2600000016</v>
      </c>
      <c r="M20" s="50">
        <v>7191787.2100000009</v>
      </c>
      <c r="N20" s="50">
        <v>7173950.4700000007</v>
      </c>
      <c r="O20" s="50">
        <v>7225506.9800000014</v>
      </c>
      <c r="P20" s="50">
        <v>6654459.7800000012</v>
      </c>
      <c r="Q20" s="50">
        <v>6831887.1899999995</v>
      </c>
      <c r="R20" s="50">
        <f t="shared" si="0"/>
        <v>7060052.8130769245</v>
      </c>
      <c r="S20" s="1"/>
      <c r="T20" s="202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</row>
    <row r="21" spans="1:69" ht="15.75">
      <c r="A21" s="44">
        <f t="shared" si="1"/>
        <v>7</v>
      </c>
      <c r="B21" s="3"/>
      <c r="C21" s="93" t="s">
        <v>157</v>
      </c>
      <c r="D21" s="1" t="s">
        <v>158</v>
      </c>
      <c r="E21" s="50">
        <v>0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>
        <v>0</v>
      </c>
      <c r="R21" s="50">
        <f t="shared" si="0"/>
        <v>0</v>
      </c>
      <c r="S21" s="1"/>
      <c r="T21" s="202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</row>
    <row r="22" spans="1:69" ht="15.75">
      <c r="A22" s="44">
        <f t="shared" si="1"/>
        <v>8</v>
      </c>
      <c r="B22" s="3"/>
      <c r="C22" s="2" t="s">
        <v>5</v>
      </c>
      <c r="D22" s="1" t="str">
        <f>"(sum lines "&amp;A15&amp;" - "&amp;A21&amp;")"</f>
        <v>(sum lines 1 - 7)</v>
      </c>
      <c r="E22" s="63">
        <f t="shared" ref="E22" si="2">SUM(E15:E21)</f>
        <v>1600556919.76</v>
      </c>
      <c r="F22" s="63">
        <f>SUM(F15:F21)</f>
        <v>1613422852.0600002</v>
      </c>
      <c r="G22" s="63">
        <f t="shared" ref="G22:R22" si="3">SUM(G15:G21)</f>
        <v>1631771379.4300001</v>
      </c>
      <c r="H22" s="63">
        <f t="shared" si="3"/>
        <v>1624440546.8899999</v>
      </c>
      <c r="I22" s="63">
        <f t="shared" si="3"/>
        <v>1635702093.96</v>
      </c>
      <c r="J22" s="63">
        <f t="shared" si="3"/>
        <v>1640125613.6799998</v>
      </c>
      <c r="K22" s="63">
        <f t="shared" si="3"/>
        <v>1640644115.1460128</v>
      </c>
      <c r="L22" s="63">
        <f t="shared" si="3"/>
        <v>1651922009.1700001</v>
      </c>
      <c r="M22" s="63">
        <f t="shared" si="3"/>
        <v>1657170630.0400002</v>
      </c>
      <c r="N22" s="63">
        <f t="shared" si="3"/>
        <v>1651219614.3417041</v>
      </c>
      <c r="O22" s="63">
        <f t="shared" si="3"/>
        <v>1659617473.9400003</v>
      </c>
      <c r="P22" s="63">
        <f t="shared" si="3"/>
        <v>1663621325.2300003</v>
      </c>
      <c r="Q22" s="63">
        <f t="shared" si="3"/>
        <v>1669502108.7640533</v>
      </c>
      <c r="R22" s="63">
        <f t="shared" si="3"/>
        <v>1641516667.8778284</v>
      </c>
      <c r="S22" s="1"/>
      <c r="T22" s="202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</row>
    <row r="23" spans="1:69">
      <c r="A23" s="44">
        <f t="shared" si="1"/>
        <v>9</v>
      </c>
      <c r="B23" s="3"/>
      <c r="C23" s="93"/>
      <c r="D23" s="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1"/>
      <c r="T23" s="1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</row>
    <row r="24" spans="1:69">
      <c r="A24" s="44">
        <f t="shared" si="1"/>
        <v>10</v>
      </c>
      <c r="B24" s="3"/>
      <c r="C24" s="93" t="s">
        <v>31</v>
      </c>
      <c r="D24" s="1" t="s">
        <v>316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1"/>
      <c r="T24" s="1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</row>
    <row r="25" spans="1:69">
      <c r="A25" s="44">
        <f t="shared" si="1"/>
        <v>11</v>
      </c>
      <c r="B25" s="3"/>
      <c r="C25" s="93" t="str">
        <f>+C15</f>
        <v xml:space="preserve">  Production</v>
      </c>
      <c r="D25" s="1" t="s">
        <v>314</v>
      </c>
      <c r="E25" s="50">
        <v>237974865.99000001</v>
      </c>
      <c r="F25" s="50">
        <v>242159207</v>
      </c>
      <c r="G25" s="50">
        <v>243809844.05000001</v>
      </c>
      <c r="H25" s="50">
        <v>242213470.51999998</v>
      </c>
      <c r="I25" s="50">
        <v>245047075.03999996</v>
      </c>
      <c r="J25" s="50">
        <v>246696063.96999997</v>
      </c>
      <c r="K25" s="50">
        <v>244387128.10999998</v>
      </c>
      <c r="L25" s="50">
        <v>246467156.61000001</v>
      </c>
      <c r="M25" s="50">
        <v>248151989.81999996</v>
      </c>
      <c r="N25" s="50">
        <v>246931187.53999999</v>
      </c>
      <c r="O25" s="50">
        <v>248477117.65999997</v>
      </c>
      <c r="P25" s="50">
        <v>249988860.48000002</v>
      </c>
      <c r="Q25" s="50">
        <v>249744133.58999997</v>
      </c>
      <c r="R25" s="50">
        <f t="shared" ref="R25:R31" si="4">AVERAGE(E25:Q25)</f>
        <v>245542161.56769231</v>
      </c>
      <c r="S25" s="1"/>
      <c r="T25" s="3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</row>
    <row r="26" spans="1:69">
      <c r="A26" s="44">
        <f t="shared" si="1"/>
        <v>12</v>
      </c>
      <c r="B26" s="3"/>
      <c r="C26" s="93" t="s">
        <v>153</v>
      </c>
      <c r="D26" s="1" t="s">
        <v>86</v>
      </c>
      <c r="E26" s="50">
        <v>45000016.232300587</v>
      </c>
      <c r="F26" s="50">
        <v>47464569.962666921</v>
      </c>
      <c r="G26" s="50">
        <v>47987805.733370923</v>
      </c>
      <c r="H26" s="50">
        <v>43587390.07505884</v>
      </c>
      <c r="I26" s="50">
        <v>48171455.446039669</v>
      </c>
      <c r="J26" s="50">
        <v>48661445.486890092</v>
      </c>
      <c r="K26" s="50">
        <v>44708570.783088259</v>
      </c>
      <c r="L26" s="50">
        <v>49760003.975097507</v>
      </c>
      <c r="M26" s="50">
        <v>50316949.211643562</v>
      </c>
      <c r="N26" s="50">
        <v>43253764.35693039</v>
      </c>
      <c r="O26" s="50">
        <v>43930792.995380461</v>
      </c>
      <c r="P26" s="50">
        <v>44463849.113332465</v>
      </c>
      <c r="Q26" s="50">
        <v>44835365.358322732</v>
      </c>
      <c r="R26" s="50">
        <f t="shared" si="4"/>
        <v>46318613.748470955</v>
      </c>
      <c r="S26" s="1"/>
      <c r="T26" s="3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</row>
    <row r="27" spans="1:69">
      <c r="A27" s="44">
        <f t="shared" si="1"/>
        <v>13</v>
      </c>
      <c r="B27" s="3"/>
      <c r="C27" s="93" t="s">
        <v>154</v>
      </c>
      <c r="D27" s="1" t="s">
        <v>87</v>
      </c>
      <c r="E27" s="50">
        <v>165500499.67000002</v>
      </c>
      <c r="F27" s="50">
        <v>168862769.47</v>
      </c>
      <c r="G27" s="50">
        <v>169721060.89000002</v>
      </c>
      <c r="H27" s="50">
        <v>167619478.18000001</v>
      </c>
      <c r="I27" s="50">
        <v>170042244.94</v>
      </c>
      <c r="J27" s="50">
        <v>169671849.51999998</v>
      </c>
      <c r="K27" s="50">
        <v>167325660.38601252</v>
      </c>
      <c r="L27" s="50">
        <v>170282940.47</v>
      </c>
      <c r="M27" s="50">
        <v>171298553.81</v>
      </c>
      <c r="N27" s="50">
        <v>169819030.73170388</v>
      </c>
      <c r="O27" s="50">
        <v>173027282.65000001</v>
      </c>
      <c r="P27" s="50">
        <v>173796242.03999999</v>
      </c>
      <c r="Q27" s="50">
        <v>172715898.86650965</v>
      </c>
      <c r="R27" s="50">
        <f>AVERAGE(E27:Q27)</f>
        <v>169975654.74032509</v>
      </c>
      <c r="S27" s="1"/>
      <c r="T27" s="3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</row>
    <row r="28" spans="1:69">
      <c r="A28" s="44">
        <f t="shared" si="1"/>
        <v>14</v>
      </c>
      <c r="B28" s="3"/>
      <c r="C28" s="93" t="str">
        <f>+C18</f>
        <v xml:space="preserve">  General &amp; Intangible</v>
      </c>
      <c r="D28" s="1" t="s">
        <v>329</v>
      </c>
      <c r="E28" s="50">
        <v>36432465.818566352</v>
      </c>
      <c r="F28" s="50">
        <v>36897753.507367395</v>
      </c>
      <c r="G28" s="50">
        <v>35676676.314838819</v>
      </c>
      <c r="H28" s="50">
        <v>36613369.513201147</v>
      </c>
      <c r="I28" s="50">
        <v>37192892.153840907</v>
      </c>
      <c r="J28" s="50">
        <v>37143827.667418703</v>
      </c>
      <c r="K28" s="50">
        <v>37133334.690193728</v>
      </c>
      <c r="L28" s="50">
        <v>37582913.510699444</v>
      </c>
      <c r="M28" s="50">
        <v>37678751.7816789</v>
      </c>
      <c r="N28" s="50">
        <v>40995177.511616968</v>
      </c>
      <c r="O28" s="50">
        <v>41841171.537151814</v>
      </c>
      <c r="P28" s="50">
        <v>41790412.333407514</v>
      </c>
      <c r="Q28" s="50">
        <v>42254229.758233741</v>
      </c>
      <c r="R28" s="50">
        <f t="shared" si="4"/>
        <v>38402536.622939646</v>
      </c>
      <c r="S28" s="1"/>
      <c r="T28" s="3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</row>
    <row r="29" spans="1:69">
      <c r="A29" s="44">
        <f t="shared" si="1"/>
        <v>15</v>
      </c>
      <c r="B29" s="3"/>
      <c r="C29" s="93" t="s">
        <v>101</v>
      </c>
      <c r="D29" s="1" t="s">
        <v>330</v>
      </c>
      <c r="E29" s="50">
        <v>7469924</v>
      </c>
      <c r="F29" s="50">
        <v>8017580</v>
      </c>
      <c r="G29" s="50">
        <v>8369840</v>
      </c>
      <c r="H29" s="50">
        <v>8738205</v>
      </c>
      <c r="I29" s="50">
        <v>8961106</v>
      </c>
      <c r="J29" s="50">
        <v>9064576</v>
      </c>
      <c r="K29" s="50">
        <v>9404035</v>
      </c>
      <c r="L29" s="50">
        <v>9740531</v>
      </c>
      <c r="M29" s="50">
        <v>10065334</v>
      </c>
      <c r="N29" s="50">
        <v>10267904</v>
      </c>
      <c r="O29" s="50">
        <v>10630705</v>
      </c>
      <c r="P29" s="50">
        <v>10963498</v>
      </c>
      <c r="Q29" s="50">
        <v>11315875</v>
      </c>
      <c r="R29" s="50">
        <f t="shared" si="4"/>
        <v>9462239.461538462</v>
      </c>
      <c r="S29" s="1"/>
      <c r="T29" s="3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</row>
    <row r="30" spans="1:69">
      <c r="A30" s="44">
        <f t="shared" si="1"/>
        <v>16</v>
      </c>
      <c r="B30" s="3"/>
      <c r="C30" s="93" t="str">
        <f>+C20</f>
        <v xml:space="preserve">  Communication System</v>
      </c>
      <c r="D30" s="1" t="s">
        <v>331</v>
      </c>
      <c r="E30" s="50">
        <v>2335041.4235851602</v>
      </c>
      <c r="F30" s="50">
        <v>2366436.4206038266</v>
      </c>
      <c r="G30" s="50">
        <v>2392135.0029352438</v>
      </c>
      <c r="H30" s="50">
        <v>2412086.2683842019</v>
      </c>
      <c r="I30" s="50">
        <v>2438305.7674388266</v>
      </c>
      <c r="J30" s="50">
        <v>2464523.2958590351</v>
      </c>
      <c r="K30" s="50">
        <v>2489161.3068079101</v>
      </c>
      <c r="L30" s="50">
        <v>2515328.4306017021</v>
      </c>
      <c r="M30" s="50">
        <v>2541567.3187864101</v>
      </c>
      <c r="N30" s="50">
        <v>2550040.5336629935</v>
      </c>
      <c r="O30" s="50">
        <v>2594248.9076188682</v>
      </c>
      <c r="P30" s="50">
        <v>2046550.9901507017</v>
      </c>
      <c r="Q30" s="50">
        <v>2053415.6528535767</v>
      </c>
      <c r="R30" s="50">
        <f t="shared" si="4"/>
        <v>2399910.8707144964</v>
      </c>
      <c r="S30" s="1"/>
      <c r="T30" s="3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</row>
    <row r="31" spans="1:69" ht="15.75">
      <c r="A31" s="44">
        <f t="shared" si="1"/>
        <v>17</v>
      </c>
      <c r="B31" s="3"/>
      <c r="C31" s="93" t="str">
        <f>+C21</f>
        <v xml:space="preserve">  Common</v>
      </c>
      <c r="D31" s="1" t="s">
        <v>158</v>
      </c>
      <c r="E31" s="50"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>
        <v>0</v>
      </c>
      <c r="R31" s="50">
        <f t="shared" si="4"/>
        <v>0</v>
      </c>
      <c r="S31" s="1"/>
      <c r="T31" s="202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</row>
    <row r="32" spans="1:69" ht="15.75">
      <c r="A32" s="44">
        <f t="shared" si="1"/>
        <v>18</v>
      </c>
      <c r="B32" s="3"/>
      <c r="C32" s="93" t="s">
        <v>7</v>
      </c>
      <c r="D32" s="1" t="str">
        <f>"(sum lines "&amp;A25&amp;" - "&amp;A31&amp;")"</f>
        <v>(sum lines 11 - 17)</v>
      </c>
      <c r="E32" s="63">
        <f>SUM(E25:E31)</f>
        <v>494712813.1344521</v>
      </c>
      <c r="F32" s="63">
        <f t="shared" ref="F32:R32" si="5">SUM(F25:F31)</f>
        <v>505768316.36063808</v>
      </c>
      <c r="G32" s="63">
        <f t="shared" si="5"/>
        <v>507957361.99114501</v>
      </c>
      <c r="H32" s="63">
        <f t="shared" si="5"/>
        <v>501183999.5566442</v>
      </c>
      <c r="I32" s="63">
        <f t="shared" si="5"/>
        <v>511853079.34731936</v>
      </c>
      <c r="J32" s="63">
        <f t="shared" si="5"/>
        <v>513702285.94016778</v>
      </c>
      <c r="K32" s="63">
        <f t="shared" si="5"/>
        <v>505447890.27610242</v>
      </c>
      <c r="L32" s="63">
        <f t="shared" si="5"/>
        <v>516348873.99639875</v>
      </c>
      <c r="M32" s="63">
        <f t="shared" si="5"/>
        <v>520053145.94210881</v>
      </c>
      <c r="N32" s="63">
        <f t="shared" si="5"/>
        <v>513817104.67391419</v>
      </c>
      <c r="O32" s="63">
        <f>SUM(O25:O31)</f>
        <v>520501318.75015116</v>
      </c>
      <c r="P32" s="63">
        <f>SUM(P25:P31)</f>
        <v>523049412.9568907</v>
      </c>
      <c r="Q32" s="63">
        <f>SUM(Q25:Q31)</f>
        <v>522918918.2259196</v>
      </c>
      <c r="R32" s="63">
        <f t="shared" si="5"/>
        <v>512101117.0116809</v>
      </c>
      <c r="S32" s="1"/>
      <c r="T32" s="202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</row>
    <row r="33" spans="1:69">
      <c r="A33" s="44">
        <f t="shared" si="1"/>
        <v>19</v>
      </c>
      <c r="B33" s="3"/>
      <c r="C33" s="3"/>
      <c r="D33" s="1" t="s">
        <v>133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1"/>
      <c r="T33" s="1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</row>
    <row r="34" spans="1:69">
      <c r="A34" s="44">
        <f t="shared" si="1"/>
        <v>20</v>
      </c>
      <c r="B34" s="3"/>
      <c r="C34" s="93" t="s">
        <v>161</v>
      </c>
      <c r="D34" s="1" t="s">
        <v>316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1"/>
      <c r="T34" s="1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</row>
    <row r="35" spans="1:69" ht="15.75">
      <c r="A35" s="44">
        <f t="shared" si="1"/>
        <v>21</v>
      </c>
      <c r="B35" s="3"/>
      <c r="C35" s="93" t="str">
        <f>+C25</f>
        <v xml:space="preserve">  Production</v>
      </c>
      <c r="D35" s="1" t="str">
        <f t="shared" ref="D35:D41" si="6">"(line "&amp;A15&amp;" - line "&amp;A25&amp;")"</f>
        <v>(line 1 - line 11)</v>
      </c>
      <c r="E35" s="50">
        <f t="shared" ref="E35" si="7">+E15-E25</f>
        <v>472502174.60000002</v>
      </c>
      <c r="F35" s="50">
        <f t="shared" ref="F35:Q35" si="8">+F15-F25</f>
        <v>471270866.79000008</v>
      </c>
      <c r="G35" s="50">
        <f t="shared" si="8"/>
        <v>469589982.20999998</v>
      </c>
      <c r="H35" s="50">
        <f t="shared" si="8"/>
        <v>469173898.39999998</v>
      </c>
      <c r="I35" s="50">
        <f t="shared" si="8"/>
        <v>470183843.42999995</v>
      </c>
      <c r="J35" s="50">
        <f t="shared" si="8"/>
        <v>468853478.88000005</v>
      </c>
      <c r="K35" s="50">
        <f t="shared" si="8"/>
        <v>472411593.18000019</v>
      </c>
      <c r="L35" s="50">
        <f t="shared" si="8"/>
        <v>471419547.34000015</v>
      </c>
      <c r="M35" s="50">
        <f t="shared" si="8"/>
        <v>470877220.52000022</v>
      </c>
      <c r="N35" s="50">
        <f t="shared" si="8"/>
        <v>470254672.90000021</v>
      </c>
      <c r="O35" s="50">
        <f t="shared" si="8"/>
        <v>471751562.45000017</v>
      </c>
      <c r="P35" s="50">
        <f t="shared" si="8"/>
        <v>470513253.01000023</v>
      </c>
      <c r="Q35" s="50">
        <f t="shared" si="8"/>
        <v>470255992.69000036</v>
      </c>
      <c r="R35" s="50">
        <f>R15-R25</f>
        <v>470696775.8769232</v>
      </c>
      <c r="S35" s="1"/>
      <c r="T35" s="202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</row>
    <row r="36" spans="1:69" ht="15.75">
      <c r="A36" s="44">
        <f t="shared" si="1"/>
        <v>22</v>
      </c>
      <c r="B36" s="3"/>
      <c r="C36" s="93" t="s">
        <v>153</v>
      </c>
      <c r="D36" s="1" t="str">
        <f t="shared" si="6"/>
        <v>(line 2 - line 12)</v>
      </c>
      <c r="E36" s="50">
        <f t="shared" ref="E36" si="9">+E16-E26</f>
        <v>232787038.65769941</v>
      </c>
      <c r="F36" s="50">
        <f t="shared" ref="F36:Q41" si="10">+F16-F26</f>
        <v>232618845.14733303</v>
      </c>
      <c r="G36" s="50">
        <f t="shared" si="10"/>
        <v>244133880.08662906</v>
      </c>
      <c r="H36" s="50">
        <f t="shared" si="10"/>
        <v>244071344.59494117</v>
      </c>
      <c r="I36" s="50">
        <f t="shared" si="10"/>
        <v>243616988.29396033</v>
      </c>
      <c r="J36" s="50">
        <f t="shared" si="10"/>
        <v>247748051.12310994</v>
      </c>
      <c r="K36" s="50">
        <f t="shared" si="10"/>
        <v>253168398.47691172</v>
      </c>
      <c r="L36" s="50">
        <f t="shared" si="10"/>
        <v>253798690.78490248</v>
      </c>
      <c r="M36" s="50">
        <f t="shared" si="10"/>
        <v>253118963.01835644</v>
      </c>
      <c r="N36" s="50">
        <f t="shared" si="10"/>
        <v>254261726.33306968</v>
      </c>
      <c r="O36" s="50">
        <f t="shared" si="10"/>
        <v>254303766.95461959</v>
      </c>
      <c r="P36" s="50">
        <f t="shared" si="10"/>
        <v>254282181.3366676</v>
      </c>
      <c r="Q36" s="50">
        <f t="shared" si="10"/>
        <v>253891066.29922062</v>
      </c>
      <c r="R36" s="50">
        <f t="shared" ref="R36:R41" si="11">R16-R26</f>
        <v>247830841.62364775</v>
      </c>
      <c r="S36" s="1"/>
      <c r="T36" s="202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</row>
    <row r="37" spans="1:69" ht="15.75">
      <c r="A37" s="44">
        <f t="shared" si="1"/>
        <v>23</v>
      </c>
      <c r="B37" s="3"/>
      <c r="C37" s="93" t="s">
        <v>234</v>
      </c>
      <c r="D37" s="1" t="str">
        <f t="shared" si="6"/>
        <v>(line 3 - line 13)</v>
      </c>
      <c r="E37" s="50">
        <f t="shared" ref="E37" si="12">+E17-E27</f>
        <v>345589259.53999996</v>
      </c>
      <c r="F37" s="50">
        <f t="shared" si="10"/>
        <v>349199061.07000005</v>
      </c>
      <c r="G37" s="50">
        <f t="shared" si="10"/>
        <v>354515934.55999994</v>
      </c>
      <c r="H37" s="50">
        <f t="shared" si="10"/>
        <v>355264220.27000004</v>
      </c>
      <c r="I37" s="50">
        <f t="shared" si="10"/>
        <v>355619412.68000001</v>
      </c>
      <c r="J37" s="50">
        <f t="shared" si="10"/>
        <v>355684934.37999994</v>
      </c>
      <c r="K37" s="50">
        <f t="shared" si="10"/>
        <v>356119110.05999994</v>
      </c>
      <c r="L37" s="50">
        <f t="shared" si="10"/>
        <v>356293332.01999998</v>
      </c>
      <c r="M37" s="50">
        <f t="shared" si="10"/>
        <v>358157224.94999999</v>
      </c>
      <c r="N37" s="50">
        <f t="shared" si="10"/>
        <v>361429763.97000003</v>
      </c>
      <c r="O37" s="50">
        <f t="shared" si="10"/>
        <v>362368656.13</v>
      </c>
      <c r="P37" s="50">
        <f t="shared" si="10"/>
        <v>365161071.06999993</v>
      </c>
      <c r="Q37" s="50">
        <f t="shared" si="10"/>
        <v>366826047.49999988</v>
      </c>
      <c r="R37" s="50">
        <f t="shared" si="11"/>
        <v>357094463.70769227</v>
      </c>
      <c r="S37" s="1"/>
      <c r="T37" s="202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</row>
    <row r="38" spans="1:69" ht="15.75">
      <c r="A38" s="44">
        <f t="shared" si="1"/>
        <v>24</v>
      </c>
      <c r="B38" s="3"/>
      <c r="C38" s="93" t="str">
        <f>+C28</f>
        <v xml:space="preserve">  General &amp; Intangible</v>
      </c>
      <c r="D38" s="1" t="str">
        <f t="shared" si="6"/>
        <v>(line 4 - line 14)</v>
      </c>
      <c r="E38" s="50">
        <f t="shared" ref="E38" si="13">+E18-E28</f>
        <v>29795386.991433643</v>
      </c>
      <c r="F38" s="50">
        <f t="shared" si="10"/>
        <v>29533179.922632597</v>
      </c>
      <c r="G38" s="50">
        <f t="shared" si="10"/>
        <v>30634041.91516117</v>
      </c>
      <c r="H38" s="50">
        <f t="shared" si="10"/>
        <v>29792588.756798841</v>
      </c>
      <c r="I38" s="50">
        <f t="shared" si="10"/>
        <v>29506372.066159092</v>
      </c>
      <c r="J38" s="50">
        <f t="shared" si="10"/>
        <v>29563341.41258131</v>
      </c>
      <c r="K38" s="50">
        <f t="shared" si="10"/>
        <v>29268302.62980634</v>
      </c>
      <c r="L38" s="50">
        <f t="shared" si="10"/>
        <v>30012671.199300565</v>
      </c>
      <c r="M38" s="50">
        <f t="shared" si="10"/>
        <v>30430246.718321145</v>
      </c>
      <c r="N38" s="50">
        <f t="shared" si="10"/>
        <v>27213061.528383084</v>
      </c>
      <c r="O38" s="50">
        <f t="shared" si="10"/>
        <v>26390577.582848236</v>
      </c>
      <c r="P38" s="50">
        <f t="shared" si="10"/>
        <v>26531761.066592492</v>
      </c>
      <c r="Q38" s="50">
        <f t="shared" si="10"/>
        <v>28000768.511766255</v>
      </c>
      <c r="R38" s="50">
        <f t="shared" si="11"/>
        <v>28974792.33090651</v>
      </c>
      <c r="S38" s="1"/>
      <c r="T38" s="202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</row>
    <row r="39" spans="1:69" ht="15.75">
      <c r="A39" s="44">
        <f t="shared" si="1"/>
        <v>25</v>
      </c>
      <c r="B39" s="3"/>
      <c r="C39" s="93" t="s">
        <v>101</v>
      </c>
      <c r="D39" s="1" t="str">
        <f t="shared" si="6"/>
        <v>(line 5 - line 15)</v>
      </c>
      <c r="E39" s="50">
        <f t="shared" ref="E39" si="14">+E19-E29</f>
        <v>20640513</v>
      </c>
      <c r="F39" s="50">
        <f t="shared" si="10"/>
        <v>20506916</v>
      </c>
      <c r="G39" s="50">
        <f t="shared" si="10"/>
        <v>20175078</v>
      </c>
      <c r="H39" s="50">
        <f t="shared" si="10"/>
        <v>20216135</v>
      </c>
      <c r="I39" s="50">
        <f t="shared" si="10"/>
        <v>20177028</v>
      </c>
      <c r="J39" s="50">
        <f t="shared" si="10"/>
        <v>19888676</v>
      </c>
      <c r="K39" s="50">
        <f t="shared" si="10"/>
        <v>19565428</v>
      </c>
      <c r="L39" s="50">
        <f t="shared" si="10"/>
        <v>19411287</v>
      </c>
      <c r="M39" s="50">
        <f t="shared" si="10"/>
        <v>19883609</v>
      </c>
      <c r="N39" s="50">
        <f t="shared" si="10"/>
        <v>19619375</v>
      </c>
      <c r="O39" s="50">
        <f t="shared" si="10"/>
        <v>19670334</v>
      </c>
      <c r="P39" s="50">
        <f t="shared" si="10"/>
        <v>19475737</v>
      </c>
      <c r="Q39" s="50">
        <f t="shared" si="10"/>
        <v>22830844</v>
      </c>
      <c r="R39" s="50">
        <f t="shared" si="11"/>
        <v>20158535.384615384</v>
      </c>
      <c r="S39" s="1"/>
      <c r="T39" s="202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</row>
    <row r="40" spans="1:69" ht="15.75">
      <c r="A40" s="44">
        <f t="shared" si="1"/>
        <v>26</v>
      </c>
      <c r="B40" s="3"/>
      <c r="C40" s="93" t="str">
        <f>+C30</f>
        <v xml:space="preserve">  Communication System</v>
      </c>
      <c r="D40" s="1" t="str">
        <f t="shared" si="6"/>
        <v>(line 6 - line 16)</v>
      </c>
      <c r="E40" s="50">
        <f>+E20-E30</f>
        <v>4529733.8364148401</v>
      </c>
      <c r="F40" s="50">
        <f t="shared" si="10"/>
        <v>4525666.7693961747</v>
      </c>
      <c r="G40" s="50">
        <f t="shared" si="10"/>
        <v>4765100.667064758</v>
      </c>
      <c r="H40" s="50">
        <f t="shared" si="10"/>
        <v>4738360.3116158005</v>
      </c>
      <c r="I40" s="50">
        <f t="shared" si="10"/>
        <v>4745370.1425611749</v>
      </c>
      <c r="J40" s="50">
        <f t="shared" si="10"/>
        <v>4684845.944140967</v>
      </c>
      <c r="K40" s="50">
        <f t="shared" si="10"/>
        <v>4663392.5231920918</v>
      </c>
      <c r="L40" s="50">
        <f t="shared" si="10"/>
        <v>4637606.8293982996</v>
      </c>
      <c r="M40" s="50">
        <f t="shared" si="10"/>
        <v>4650219.8912135903</v>
      </c>
      <c r="N40" s="50">
        <f t="shared" si="10"/>
        <v>4623909.9363370072</v>
      </c>
      <c r="O40" s="50">
        <f t="shared" si="10"/>
        <v>4631258.0723811332</v>
      </c>
      <c r="P40" s="50">
        <f t="shared" si="10"/>
        <v>4607908.7898492999</v>
      </c>
      <c r="Q40" s="50">
        <f>+Q20-Q30</f>
        <v>4778471.537146423</v>
      </c>
      <c r="R40" s="50">
        <f t="shared" si="11"/>
        <v>4660141.9423624277</v>
      </c>
      <c r="S40" s="1"/>
      <c r="T40" s="202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</row>
    <row r="41" spans="1:69" ht="15.75">
      <c r="A41" s="44">
        <f t="shared" si="1"/>
        <v>27</v>
      </c>
      <c r="B41" s="3"/>
      <c r="C41" s="93" t="str">
        <f>+C31</f>
        <v xml:space="preserve">  Common</v>
      </c>
      <c r="D41" s="1" t="str">
        <f t="shared" si="6"/>
        <v>(line 7 - line 17)</v>
      </c>
      <c r="E41" s="50">
        <f t="shared" ref="E41" si="15">+E21-E31</f>
        <v>0</v>
      </c>
      <c r="F41" s="50">
        <f t="shared" si="10"/>
        <v>0</v>
      </c>
      <c r="G41" s="50">
        <f t="shared" si="10"/>
        <v>0</v>
      </c>
      <c r="H41" s="50">
        <f t="shared" si="10"/>
        <v>0</v>
      </c>
      <c r="I41" s="50">
        <f t="shared" si="10"/>
        <v>0</v>
      </c>
      <c r="J41" s="50">
        <f t="shared" si="10"/>
        <v>0</v>
      </c>
      <c r="K41" s="50">
        <f t="shared" si="10"/>
        <v>0</v>
      </c>
      <c r="L41" s="50">
        <f t="shared" si="10"/>
        <v>0</v>
      </c>
      <c r="M41" s="50">
        <f t="shared" si="10"/>
        <v>0</v>
      </c>
      <c r="N41" s="50">
        <f t="shared" si="10"/>
        <v>0</v>
      </c>
      <c r="O41" s="50">
        <f t="shared" si="10"/>
        <v>0</v>
      </c>
      <c r="P41" s="50">
        <f t="shared" si="10"/>
        <v>0</v>
      </c>
      <c r="Q41" s="50">
        <f t="shared" si="10"/>
        <v>0</v>
      </c>
      <c r="R41" s="61">
        <f t="shared" si="11"/>
        <v>0</v>
      </c>
      <c r="S41" s="1"/>
      <c r="T41" s="202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</row>
    <row r="42" spans="1:69" ht="15.75">
      <c r="A42" s="44">
        <f t="shared" si="1"/>
        <v>28</v>
      </c>
      <c r="B42" s="3"/>
      <c r="C42" s="93" t="s">
        <v>6</v>
      </c>
      <c r="D42" s="1" t="str">
        <f>"(sum lines "&amp;A35&amp;" - "&amp;A41&amp;")"</f>
        <v>(sum lines 21 - 27)</v>
      </c>
      <c r="E42" s="63">
        <f>SUM(E35:E41)</f>
        <v>1105844106.6255479</v>
      </c>
      <c r="F42" s="63">
        <f t="shared" ref="F42:Q42" si="16">SUM(F35:F41)</f>
        <v>1107654535.6993618</v>
      </c>
      <c r="G42" s="63">
        <f t="shared" si="16"/>
        <v>1123814017.4388549</v>
      </c>
      <c r="H42" s="63">
        <f t="shared" si="16"/>
        <v>1123256547.3333557</v>
      </c>
      <c r="I42" s="63">
        <f t="shared" si="16"/>
        <v>1123849014.6126804</v>
      </c>
      <c r="J42" s="63">
        <f t="shared" si="16"/>
        <v>1126423327.7398319</v>
      </c>
      <c r="K42" s="63">
        <f t="shared" si="16"/>
        <v>1135196224.8699102</v>
      </c>
      <c r="L42" s="63">
        <f t="shared" si="16"/>
        <v>1135573135.1736016</v>
      </c>
      <c r="M42" s="63">
        <f t="shared" si="16"/>
        <v>1137117484.0978913</v>
      </c>
      <c r="N42" s="63">
        <f t="shared" si="16"/>
        <v>1137402509.6677899</v>
      </c>
      <c r="O42" s="63">
        <f t="shared" si="16"/>
        <v>1139116155.1898491</v>
      </c>
      <c r="P42" s="63">
        <f t="shared" si="16"/>
        <v>1140571912.2731094</v>
      </c>
      <c r="Q42" s="63">
        <f t="shared" si="16"/>
        <v>1146583190.5381334</v>
      </c>
      <c r="R42" s="63">
        <f>SUM(R35:R41)</f>
        <v>1129415550.8661475</v>
      </c>
      <c r="S42" s="1"/>
      <c r="T42" s="202"/>
      <c r="U42" s="203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</row>
    <row r="43" spans="1:69">
      <c r="A43" s="44"/>
      <c r="B43" s="3"/>
      <c r="C43" s="93"/>
      <c r="D43" s="1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1"/>
      <c r="T43" s="204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</row>
    <row r="44" spans="1:69">
      <c r="A44" s="44"/>
      <c r="B44" s="3"/>
      <c r="C44" s="93" t="s">
        <v>317</v>
      </c>
      <c r="D44" s="1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1"/>
      <c r="T44" s="204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</row>
    <row r="45" spans="1:69" ht="18">
      <c r="A45" s="44"/>
      <c r="B45" s="3"/>
      <c r="C45" s="2" t="s">
        <v>318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04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</row>
    <row r="46" spans="1:69">
      <c r="A46" s="44"/>
      <c r="B46" s="3"/>
      <c r="C46" s="9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04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</row>
    <row r="47" spans="1:69" ht="23.25">
      <c r="A47" s="44"/>
      <c r="B47" s="3"/>
      <c r="C47" s="93"/>
      <c r="D47" s="1"/>
      <c r="E47" s="214" t="s">
        <v>397</v>
      </c>
      <c r="F47" s="1"/>
      <c r="G47" s="1"/>
      <c r="H47" s="1"/>
      <c r="I47" s="205"/>
      <c r="J47" s="1"/>
      <c r="K47" s="1"/>
      <c r="L47" s="1"/>
      <c r="M47" s="1"/>
      <c r="N47" s="1"/>
      <c r="O47" s="1"/>
      <c r="P47" s="1"/>
      <c r="Q47" s="1"/>
      <c r="R47" s="1"/>
      <c r="S47" s="1"/>
      <c r="T47" s="204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</row>
    <row r="48" spans="1:69">
      <c r="A48" s="44">
        <f>+A42+1</f>
        <v>29</v>
      </c>
      <c r="B48" s="3"/>
      <c r="C48" s="3"/>
      <c r="D48" s="1"/>
      <c r="E48" s="91" t="s">
        <v>15</v>
      </c>
      <c r="F48" s="91" t="s">
        <v>16</v>
      </c>
      <c r="G48" s="91" t="s">
        <v>17</v>
      </c>
      <c r="H48" s="1"/>
      <c r="I48" s="1"/>
      <c r="J48" s="1"/>
      <c r="K48" s="1"/>
      <c r="L48" s="1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</row>
    <row r="49" spans="1:62">
      <c r="A49" s="44">
        <f t="shared" si="1"/>
        <v>30</v>
      </c>
      <c r="B49" s="3"/>
      <c r="C49" s="2" t="s">
        <v>379</v>
      </c>
      <c r="D49" s="1"/>
      <c r="E49" s="213">
        <v>44896</v>
      </c>
      <c r="F49" s="213">
        <v>45261</v>
      </c>
      <c r="G49" s="1" t="s">
        <v>29</v>
      </c>
      <c r="H49" s="1"/>
      <c r="I49" s="1"/>
      <c r="J49" s="1"/>
      <c r="K49" s="1"/>
      <c r="L49" s="1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</row>
    <row r="50" spans="1:62">
      <c r="A50" s="44">
        <f t="shared" si="1"/>
        <v>31</v>
      </c>
      <c r="B50" s="3"/>
      <c r="C50" s="93" t="s">
        <v>207</v>
      </c>
      <c r="D50" s="1" t="s">
        <v>307</v>
      </c>
      <c r="E50" s="50">
        <v>0</v>
      </c>
      <c r="F50" s="50">
        <v>0</v>
      </c>
      <c r="G50" s="50">
        <f t="shared" ref="G50:G55" si="17">(+E50+F50)/2</f>
        <v>0</v>
      </c>
      <c r="H50" s="1"/>
      <c r="I50" s="1"/>
      <c r="J50" s="1"/>
      <c r="K50" s="1"/>
      <c r="L50" s="123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</row>
    <row r="51" spans="1:62">
      <c r="A51" s="44">
        <f t="shared" si="1"/>
        <v>32</v>
      </c>
      <c r="B51" s="3"/>
      <c r="C51" s="93" t="s">
        <v>208</v>
      </c>
      <c r="D51" s="1" t="s">
        <v>308</v>
      </c>
      <c r="E51" s="50">
        <v>-148377196</v>
      </c>
      <c r="F51" s="50">
        <v>-152726605</v>
      </c>
      <c r="G51" s="50">
        <f t="shared" si="17"/>
        <v>-150551900.5</v>
      </c>
      <c r="H51" s="1"/>
      <c r="I51" s="1"/>
      <c r="J51" s="1"/>
      <c r="K51" s="1"/>
      <c r="L51" s="91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</row>
    <row r="52" spans="1:62" ht="15.75">
      <c r="A52" s="44">
        <f t="shared" si="1"/>
        <v>33</v>
      </c>
      <c r="B52" s="3"/>
      <c r="C52" s="93" t="s">
        <v>209</v>
      </c>
      <c r="D52" s="1" t="s">
        <v>309</v>
      </c>
      <c r="E52" s="61">
        <v>-17870601</v>
      </c>
      <c r="F52" s="61">
        <v>-17423866</v>
      </c>
      <c r="G52" s="50">
        <f t="shared" si="17"/>
        <v>-17647233.5</v>
      </c>
      <c r="H52" s="1"/>
      <c r="I52" s="205"/>
      <c r="J52" s="1"/>
      <c r="K52" s="1"/>
      <c r="L52" s="123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</row>
    <row r="53" spans="1:62">
      <c r="A53" s="44">
        <f t="shared" si="1"/>
        <v>34</v>
      </c>
      <c r="B53" s="3"/>
      <c r="C53" s="93" t="s">
        <v>211</v>
      </c>
      <c r="D53" s="1" t="s">
        <v>310</v>
      </c>
      <c r="E53" s="61">
        <v>44839608</v>
      </c>
      <c r="F53" s="61">
        <v>48008895</v>
      </c>
      <c r="G53" s="50">
        <f t="shared" si="17"/>
        <v>46424251.5</v>
      </c>
      <c r="H53" s="1"/>
      <c r="I53" s="1"/>
      <c r="J53" s="1"/>
      <c r="K53" s="1"/>
      <c r="L53" s="123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</row>
    <row r="54" spans="1:62" ht="15.75">
      <c r="A54" s="44">
        <f t="shared" si="1"/>
        <v>35</v>
      </c>
      <c r="B54" s="3"/>
      <c r="C54" s="3" t="s">
        <v>210</v>
      </c>
      <c r="D54" s="1" t="s">
        <v>311</v>
      </c>
      <c r="E54" s="61">
        <v>0</v>
      </c>
      <c r="F54" s="61">
        <v>0</v>
      </c>
      <c r="G54" s="50">
        <f t="shared" si="17"/>
        <v>0</v>
      </c>
      <c r="H54" s="187"/>
      <c r="I54" s="205"/>
      <c r="J54" s="1"/>
      <c r="K54" s="1"/>
      <c r="L54" s="206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</row>
    <row r="55" spans="1:62">
      <c r="A55" s="44">
        <f t="shared" si="1"/>
        <v>36</v>
      </c>
      <c r="B55" s="3"/>
      <c r="C55" s="93" t="s">
        <v>230</v>
      </c>
      <c r="D55" s="3" t="s">
        <v>374</v>
      </c>
      <c r="E55" s="92">
        <v>1763704.97</v>
      </c>
      <c r="F55" s="92">
        <v>1718283.96</v>
      </c>
      <c r="G55" s="92">
        <f t="shared" si="17"/>
        <v>1740994.4649999999</v>
      </c>
      <c r="H55" s="1"/>
      <c r="I55" s="1"/>
      <c r="J55" s="1"/>
      <c r="K55" s="1"/>
      <c r="L55" s="123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</row>
    <row r="56" spans="1:62" ht="15.75">
      <c r="A56" s="44">
        <f t="shared" si="1"/>
        <v>37</v>
      </c>
      <c r="B56" s="3"/>
      <c r="C56" s="93" t="s">
        <v>8</v>
      </c>
      <c r="D56" s="1" t="str">
        <f>"(sum lines "&amp;A50&amp;" - "&amp;A55&amp;")"</f>
        <v>(sum lines 31 - 36)</v>
      </c>
      <c r="E56" s="50">
        <f>SUM(E50:E55)</f>
        <v>-119644484.03</v>
      </c>
      <c r="F56" s="50">
        <f>SUM(F50:F55)</f>
        <v>-120423292.04000001</v>
      </c>
      <c r="G56" s="50">
        <f>SUM(G50:G55)</f>
        <v>-120033888.035</v>
      </c>
      <c r="H56" s="1"/>
      <c r="I56" s="205"/>
      <c r="J56" s="1"/>
      <c r="K56" s="1"/>
      <c r="L56" s="207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</row>
    <row r="57" spans="1:62">
      <c r="A57" s="44">
        <f t="shared" si="1"/>
        <v>38</v>
      </c>
      <c r="B57" s="3"/>
      <c r="C57" s="3"/>
      <c r="D57" s="1"/>
      <c r="E57" s="50"/>
      <c r="F57" s="50"/>
      <c r="G57" s="50"/>
      <c r="H57" s="1"/>
      <c r="I57" s="1"/>
      <c r="J57" s="1"/>
      <c r="K57" s="1"/>
      <c r="L57" s="1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</row>
    <row r="58" spans="1:62" ht="15.75">
      <c r="A58" s="44">
        <f t="shared" si="1"/>
        <v>39</v>
      </c>
      <c r="B58" s="3"/>
      <c r="C58" s="2" t="s">
        <v>168</v>
      </c>
      <c r="D58" s="1" t="s">
        <v>376</v>
      </c>
      <c r="E58" s="50">
        <v>1268191</v>
      </c>
      <c r="F58" s="50">
        <v>2155556</v>
      </c>
      <c r="G58" s="50">
        <f>(+E58+F58)/2</f>
        <v>1711873.5</v>
      </c>
      <c r="H58" s="1"/>
      <c r="I58" s="205"/>
      <c r="J58" s="1"/>
      <c r="K58" s="1"/>
      <c r="L58" s="208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</row>
    <row r="59" spans="1:62">
      <c r="A59" s="44">
        <f t="shared" si="1"/>
        <v>40</v>
      </c>
      <c r="B59" s="3"/>
      <c r="C59" s="93"/>
      <c r="D59" s="1"/>
      <c r="E59" s="50"/>
      <c r="F59" s="50"/>
      <c r="G59" s="50"/>
      <c r="H59" s="1"/>
      <c r="I59" s="1"/>
      <c r="J59" s="1"/>
      <c r="K59" s="1"/>
      <c r="L59" s="1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</row>
    <row r="60" spans="1:62">
      <c r="A60" s="44">
        <f t="shared" si="1"/>
        <v>41</v>
      </c>
      <c r="B60" s="3"/>
      <c r="C60" s="93" t="s">
        <v>377</v>
      </c>
      <c r="D60" s="1"/>
      <c r="E60" s="50"/>
      <c r="F60" s="50"/>
      <c r="G60" s="50"/>
      <c r="H60" s="1"/>
      <c r="I60" s="1"/>
      <c r="J60" s="1"/>
      <c r="K60" s="1"/>
      <c r="L60" s="1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</row>
    <row r="61" spans="1:62">
      <c r="A61" s="44">
        <f t="shared" si="1"/>
        <v>42</v>
      </c>
      <c r="B61" s="3"/>
      <c r="C61" s="93"/>
      <c r="D61" s="3"/>
      <c r="E61" s="50"/>
      <c r="F61" s="50"/>
      <c r="G61" s="50"/>
      <c r="H61" s="1"/>
      <c r="I61" s="1"/>
      <c r="J61" s="1"/>
      <c r="K61" s="1"/>
      <c r="L61" s="14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</row>
    <row r="62" spans="1:62">
      <c r="A62" s="44">
        <f t="shared" si="1"/>
        <v>43</v>
      </c>
      <c r="B62" s="3"/>
      <c r="C62" s="93" t="s">
        <v>271</v>
      </c>
      <c r="D62" s="1" t="s">
        <v>98</v>
      </c>
      <c r="E62" s="61">
        <v>7829590</v>
      </c>
      <c r="F62" s="61">
        <v>7554563</v>
      </c>
      <c r="G62" s="50">
        <f>(+E62+F62)/2</f>
        <v>7692076.5</v>
      </c>
      <c r="H62" s="1"/>
      <c r="I62" s="1"/>
      <c r="J62" s="1"/>
      <c r="K62" s="1"/>
      <c r="L62" s="14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</row>
    <row r="63" spans="1:62">
      <c r="A63" s="44">
        <f t="shared" si="1"/>
        <v>44</v>
      </c>
      <c r="B63" s="3"/>
      <c r="C63" s="93" t="s">
        <v>271</v>
      </c>
      <c r="D63" s="1" t="s">
        <v>97</v>
      </c>
      <c r="E63" s="61">
        <v>27554</v>
      </c>
      <c r="F63" s="61">
        <v>258612</v>
      </c>
      <c r="G63" s="50">
        <f>(+E63+F63)/2</f>
        <v>143083</v>
      </c>
      <c r="H63" s="1"/>
      <c r="I63" s="1"/>
      <c r="J63" s="1"/>
      <c r="K63" s="1"/>
      <c r="L63" s="14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</row>
    <row r="64" spans="1:62">
      <c r="A64" s="44">
        <f t="shared" si="1"/>
        <v>45</v>
      </c>
      <c r="B64" s="3"/>
      <c r="C64" s="93" t="s">
        <v>212</v>
      </c>
      <c r="D64" s="1" t="s">
        <v>40</v>
      </c>
      <c r="E64" s="61">
        <v>3992256</v>
      </c>
      <c r="F64" s="61">
        <v>4086489</v>
      </c>
      <c r="G64" s="50">
        <f>(+E64+F64)/2</f>
        <v>4039372.5</v>
      </c>
      <c r="H64" s="1"/>
      <c r="I64" s="1"/>
      <c r="J64" s="1"/>
      <c r="K64" s="1"/>
      <c r="L64" s="14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</row>
    <row r="65" spans="1:62" ht="15.75">
      <c r="A65" s="44">
        <f t="shared" si="1"/>
        <v>46</v>
      </c>
      <c r="B65" s="3"/>
      <c r="C65" s="93" t="s">
        <v>9</v>
      </c>
      <c r="D65" s="1" t="str">
        <f>"(sum lines "&amp;A61&amp;" - "&amp;A64&amp;")"</f>
        <v>(sum lines 42 - 45)</v>
      </c>
      <c r="E65" s="63">
        <f>SUM(E62:E64)</f>
        <v>11849400</v>
      </c>
      <c r="F65" s="63">
        <f>SUM(F62:F64)</f>
        <v>11899664</v>
      </c>
      <c r="G65" s="63">
        <f>SUM(G62:G64)</f>
        <v>11874532</v>
      </c>
      <c r="H65" s="93"/>
      <c r="I65" s="205"/>
      <c r="J65" s="1"/>
      <c r="K65" s="1"/>
      <c r="L65" s="207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</row>
  </sheetData>
  <mergeCells count="6">
    <mergeCell ref="A4:I4"/>
    <mergeCell ref="A5:I5"/>
    <mergeCell ref="A7:I7"/>
    <mergeCell ref="J4:R4"/>
    <mergeCell ref="J5:R5"/>
    <mergeCell ref="J7:R7"/>
  </mergeCells>
  <phoneticPr fontId="14" type="noConversion"/>
  <printOptions horizontalCentered="1"/>
  <pageMargins left="0.5" right="0.5" top="0.75" bottom="0.75" header="0.5" footer="0.5"/>
  <pageSetup scale="52" fitToWidth="2" fitToHeight="5" orientation="portrait" r:id="rId1"/>
  <headerFooter alignWithMargins="0">
    <oddHeader>&amp;L&amp;10 2016 BHP-Workpaper 6 Rate True-Up&amp;C&amp;"Arial MT,Bold"
ACTUAL SERVICE YEAR ATRR
BLACK HILLS POWER, INC.&amp;R&amp;10Page &amp;P of &amp;N</oddHeader>
    <oddFooter xml:space="preserve">&amp;L&amp;9
</oddFooter>
  </headerFooter>
  <rowBreaks count="1" manualBreakCount="1">
    <brk id="4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R58"/>
  <sheetViews>
    <sheetView zoomScaleNormal="100" workbookViewId="0">
      <selection activeCell="N31" sqref="N31"/>
    </sheetView>
  </sheetViews>
  <sheetFormatPr defaultColWidth="7.109375" defaultRowHeight="12.75"/>
  <cols>
    <col min="1" max="1" width="4.77734375" style="30" customWidth="1"/>
    <col min="2" max="2" width="15.77734375" style="30" customWidth="1"/>
    <col min="3" max="3" width="7.109375" style="30" customWidth="1"/>
    <col min="4" max="4" width="8.77734375" style="30" customWidth="1"/>
    <col min="5" max="6" width="7.77734375" style="30" customWidth="1"/>
    <col min="7" max="7" width="10.21875" style="30" customWidth="1"/>
    <col min="8" max="8" width="13" style="30" customWidth="1"/>
    <col min="9" max="9" width="11.77734375" style="30" customWidth="1"/>
    <col min="10" max="10" width="11.5546875" style="30" bestFit="1" customWidth="1"/>
    <col min="11" max="11" width="8" style="30" customWidth="1"/>
    <col min="12" max="16384" width="7.109375" style="30"/>
  </cols>
  <sheetData>
    <row r="1" spans="1:16">
      <c r="K1" s="25"/>
    </row>
    <row r="2" spans="1:16">
      <c r="B2" s="5"/>
      <c r="C2" s="6"/>
      <c r="D2" s="6"/>
      <c r="E2" s="6"/>
      <c r="F2" s="6"/>
      <c r="G2" s="6"/>
      <c r="H2" s="6"/>
      <c r="J2" s="21" t="s">
        <v>351</v>
      </c>
    </row>
    <row r="3" spans="1:16" ht="15" customHeight="1">
      <c r="A3" s="247" t="s">
        <v>273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6" ht="15" customHeight="1">
      <c r="A4" s="247" t="s">
        <v>43</v>
      </c>
      <c r="B4" s="247"/>
      <c r="C4" s="247"/>
      <c r="D4" s="247"/>
      <c r="E4" s="247"/>
      <c r="F4" s="247"/>
      <c r="G4" s="247"/>
      <c r="H4" s="247"/>
      <c r="I4" s="247"/>
      <c r="J4" s="247"/>
    </row>
    <row r="5" spans="1:16">
      <c r="B5" s="5"/>
      <c r="C5" s="6"/>
      <c r="D5" s="26"/>
      <c r="E5" s="6"/>
      <c r="G5" s="6"/>
      <c r="H5" s="6"/>
      <c r="I5" s="6"/>
      <c r="J5" s="6"/>
    </row>
    <row r="6" spans="1:16" ht="18.75">
      <c r="A6" s="59" t="s">
        <v>135</v>
      </c>
      <c r="B6" s="5"/>
      <c r="C6" s="6"/>
      <c r="D6" s="257" t="s">
        <v>398</v>
      </c>
      <c r="E6" s="258"/>
      <c r="F6" s="258"/>
      <c r="G6" s="258"/>
      <c r="H6" s="259"/>
      <c r="I6" s="6"/>
      <c r="J6" s="6"/>
      <c r="M6" s="195"/>
    </row>
    <row r="7" spans="1:16" ht="13.5" thickBot="1">
      <c r="A7" s="60" t="s">
        <v>136</v>
      </c>
    </row>
    <row r="8" spans="1:16" ht="15">
      <c r="A8" s="58">
        <v>1</v>
      </c>
      <c r="B8" s="28"/>
      <c r="C8" s="29"/>
      <c r="D8" s="45" t="s">
        <v>37</v>
      </c>
      <c r="E8" s="45" t="s">
        <v>60</v>
      </c>
      <c r="F8" s="45" t="s">
        <v>61</v>
      </c>
      <c r="G8" s="29" t="s">
        <v>62</v>
      </c>
      <c r="H8" s="45" t="s">
        <v>103</v>
      </c>
      <c r="I8" s="45" t="s">
        <v>1</v>
      </c>
      <c r="J8" s="45" t="s">
        <v>239</v>
      </c>
      <c r="K8"/>
    </row>
    <row r="9" spans="1:16" ht="15">
      <c r="A9" s="58">
        <f>A8+1</f>
        <v>2</v>
      </c>
      <c r="B9" s="31"/>
      <c r="C9" s="32"/>
      <c r="D9" s="46" t="s">
        <v>239</v>
      </c>
      <c r="E9" s="46" t="s">
        <v>239</v>
      </c>
      <c r="F9" s="46" t="s">
        <v>63</v>
      </c>
      <c r="G9" s="32" t="s">
        <v>64</v>
      </c>
      <c r="H9" s="46" t="s">
        <v>104</v>
      </c>
      <c r="I9" s="46" t="s">
        <v>2</v>
      </c>
      <c r="J9" s="46" t="s">
        <v>75</v>
      </c>
      <c r="K9"/>
    </row>
    <row r="10" spans="1:16" ht="15.75" thickBot="1">
      <c r="A10" s="58">
        <f t="shared" ref="A10:A47" si="0">A9+1</f>
        <v>3</v>
      </c>
      <c r="B10" s="33"/>
      <c r="C10" s="34"/>
      <c r="D10" s="47" t="s">
        <v>65</v>
      </c>
      <c r="E10" s="46" t="s">
        <v>65</v>
      </c>
      <c r="F10" s="47" t="s">
        <v>65</v>
      </c>
      <c r="G10" s="34" t="s">
        <v>65</v>
      </c>
      <c r="H10" s="47" t="s">
        <v>65</v>
      </c>
      <c r="I10" s="47" t="s">
        <v>65</v>
      </c>
      <c r="J10" s="47" t="s">
        <v>76</v>
      </c>
      <c r="K10"/>
    </row>
    <row r="11" spans="1:16" ht="15">
      <c r="A11" s="58">
        <f t="shared" si="0"/>
        <v>4</v>
      </c>
      <c r="B11" s="52" t="s">
        <v>113</v>
      </c>
      <c r="C11" s="53"/>
      <c r="D11" s="28">
        <v>325</v>
      </c>
      <c r="E11" s="94">
        <v>308</v>
      </c>
      <c r="F11" s="218">
        <v>2</v>
      </c>
      <c r="G11" s="94">
        <v>63</v>
      </c>
      <c r="H11" s="29">
        <v>347</v>
      </c>
      <c r="I11" s="28">
        <v>0</v>
      </c>
      <c r="J11" s="95">
        <f t="shared" ref="J11:J22" si="1">SUM(D11:I11)</f>
        <v>1045</v>
      </c>
      <c r="K11"/>
      <c r="M11" s="195"/>
      <c r="N11" s="196"/>
      <c r="P11" s="196"/>
    </row>
    <row r="12" spans="1:16" ht="15">
      <c r="A12" s="58">
        <f t="shared" si="0"/>
        <v>5</v>
      </c>
      <c r="B12" s="52" t="s">
        <v>124</v>
      </c>
      <c r="D12" s="220">
        <v>287</v>
      </c>
      <c r="E12" s="95">
        <v>301</v>
      </c>
      <c r="F12" s="219">
        <v>2</v>
      </c>
      <c r="G12" s="95">
        <v>50</v>
      </c>
      <c r="H12" s="32">
        <v>347</v>
      </c>
      <c r="I12" s="31">
        <v>0</v>
      </c>
      <c r="J12" s="95">
        <f t="shared" si="1"/>
        <v>987</v>
      </c>
      <c r="K12"/>
      <c r="M12" s="195"/>
      <c r="N12" s="196"/>
      <c r="P12" s="196"/>
    </row>
    <row r="13" spans="1:16" ht="15">
      <c r="A13" s="58">
        <f t="shared" si="0"/>
        <v>6</v>
      </c>
      <c r="B13" s="52" t="s">
        <v>125</v>
      </c>
      <c r="D13" s="220">
        <v>266</v>
      </c>
      <c r="E13" s="95">
        <v>273</v>
      </c>
      <c r="F13" s="219">
        <v>2</v>
      </c>
      <c r="G13" s="95">
        <v>43</v>
      </c>
      <c r="H13" s="32">
        <v>347</v>
      </c>
      <c r="I13" s="31">
        <v>0</v>
      </c>
      <c r="J13" s="95">
        <f t="shared" si="1"/>
        <v>931</v>
      </c>
      <c r="K13"/>
      <c r="M13" s="195"/>
      <c r="N13" s="196"/>
      <c r="P13" s="196"/>
    </row>
    <row r="14" spans="1:16" ht="15">
      <c r="A14" s="58">
        <f t="shared" si="0"/>
        <v>7</v>
      </c>
      <c r="B14" s="52" t="s">
        <v>129</v>
      </c>
      <c r="D14" s="220">
        <v>232</v>
      </c>
      <c r="E14" s="95">
        <v>228</v>
      </c>
      <c r="F14" s="219">
        <v>2</v>
      </c>
      <c r="G14" s="95">
        <v>37</v>
      </c>
      <c r="H14" s="32">
        <v>347</v>
      </c>
      <c r="I14" s="31">
        <v>0</v>
      </c>
      <c r="J14" s="95">
        <f t="shared" si="1"/>
        <v>846</v>
      </c>
      <c r="K14"/>
      <c r="M14" s="195"/>
      <c r="N14" s="196"/>
      <c r="P14" s="196"/>
    </row>
    <row r="15" spans="1:16" ht="15">
      <c r="A15" s="58">
        <f t="shared" si="0"/>
        <v>8</v>
      </c>
      <c r="B15" s="52" t="s">
        <v>130</v>
      </c>
      <c r="D15" s="220">
        <v>202</v>
      </c>
      <c r="E15" s="95">
        <v>236</v>
      </c>
      <c r="F15" s="219">
        <v>2</v>
      </c>
      <c r="G15" s="95">
        <v>32</v>
      </c>
      <c r="H15" s="32">
        <v>347</v>
      </c>
      <c r="I15" s="31">
        <v>0</v>
      </c>
      <c r="J15" s="95">
        <f t="shared" si="1"/>
        <v>819</v>
      </c>
      <c r="K15"/>
      <c r="M15" s="195"/>
      <c r="N15" s="196"/>
      <c r="P15" s="196"/>
    </row>
    <row r="16" spans="1:16" ht="15">
      <c r="A16" s="58">
        <f t="shared" si="0"/>
        <v>9</v>
      </c>
      <c r="B16" s="52" t="s">
        <v>131</v>
      </c>
      <c r="D16" s="220">
        <v>355</v>
      </c>
      <c r="E16" s="95">
        <v>250</v>
      </c>
      <c r="F16" s="219">
        <v>3</v>
      </c>
      <c r="G16" s="95">
        <v>71</v>
      </c>
      <c r="H16" s="32">
        <v>347</v>
      </c>
      <c r="I16" s="31">
        <v>0</v>
      </c>
      <c r="J16" s="95">
        <f t="shared" si="1"/>
        <v>1026</v>
      </c>
      <c r="K16"/>
      <c r="M16" s="195"/>
      <c r="N16" s="196"/>
      <c r="P16" s="196"/>
    </row>
    <row r="17" spans="1:18" ht="15">
      <c r="A17" s="58">
        <f t="shared" si="0"/>
        <v>10</v>
      </c>
      <c r="B17" s="52" t="s">
        <v>126</v>
      </c>
      <c r="D17" s="220">
        <v>355</v>
      </c>
      <c r="E17" s="95">
        <v>235</v>
      </c>
      <c r="F17" s="219">
        <v>2</v>
      </c>
      <c r="G17" s="95">
        <v>66</v>
      </c>
      <c r="H17" s="32">
        <v>347</v>
      </c>
      <c r="I17" s="31">
        <v>0</v>
      </c>
      <c r="J17" s="95">
        <f t="shared" si="1"/>
        <v>1005</v>
      </c>
      <c r="K17"/>
      <c r="M17" s="195"/>
      <c r="N17" s="196"/>
      <c r="P17" s="196"/>
    </row>
    <row r="18" spans="1:18" ht="15">
      <c r="A18" s="58">
        <f t="shared" si="0"/>
        <v>11</v>
      </c>
      <c r="B18" s="52" t="s">
        <v>110</v>
      </c>
      <c r="D18" s="95">
        <v>332</v>
      </c>
      <c r="E18" s="95">
        <v>255</v>
      </c>
      <c r="F18" s="219">
        <v>2</v>
      </c>
      <c r="G18" s="95">
        <v>69</v>
      </c>
      <c r="H18" s="32">
        <v>347</v>
      </c>
      <c r="I18" s="31">
        <v>0</v>
      </c>
      <c r="J18" s="95">
        <f t="shared" si="1"/>
        <v>1005</v>
      </c>
      <c r="K18"/>
      <c r="M18" s="195"/>
      <c r="N18" s="196"/>
      <c r="P18" s="196"/>
    </row>
    <row r="19" spans="1:18" ht="15">
      <c r="A19" s="58">
        <f t="shared" si="0"/>
        <v>12</v>
      </c>
      <c r="B19" s="284" t="s">
        <v>127</v>
      </c>
      <c r="C19" s="285"/>
      <c r="D19" s="286">
        <v>325</v>
      </c>
      <c r="E19" s="286">
        <v>251</v>
      </c>
      <c r="F19" s="287">
        <v>3</v>
      </c>
      <c r="G19" s="286">
        <v>76</v>
      </c>
      <c r="H19" s="288">
        <v>347</v>
      </c>
      <c r="I19" s="289">
        <v>0</v>
      </c>
      <c r="J19" s="286">
        <f t="shared" si="1"/>
        <v>1002</v>
      </c>
      <c r="K19"/>
      <c r="M19" s="195"/>
      <c r="N19" s="196"/>
      <c r="P19" s="196"/>
    </row>
    <row r="20" spans="1:18" ht="15">
      <c r="A20" s="58">
        <f t="shared" si="0"/>
        <v>13</v>
      </c>
      <c r="B20" s="284" t="s">
        <v>111</v>
      </c>
      <c r="C20" s="285"/>
      <c r="D20" s="286">
        <v>278</v>
      </c>
      <c r="E20" s="286">
        <v>276</v>
      </c>
      <c r="F20" s="287">
        <v>3</v>
      </c>
      <c r="G20" s="286">
        <v>61</v>
      </c>
      <c r="H20" s="288">
        <v>347</v>
      </c>
      <c r="I20" s="289">
        <v>0</v>
      </c>
      <c r="J20" s="286">
        <f t="shared" si="1"/>
        <v>965</v>
      </c>
      <c r="K20"/>
      <c r="M20" s="195"/>
      <c r="N20" s="196"/>
      <c r="P20" s="196"/>
    </row>
    <row r="21" spans="1:18" ht="15">
      <c r="A21" s="58">
        <f t="shared" si="0"/>
        <v>14</v>
      </c>
      <c r="B21" s="284" t="s">
        <v>112</v>
      </c>
      <c r="C21" s="285"/>
      <c r="D21" s="286">
        <v>304</v>
      </c>
      <c r="E21" s="286">
        <v>300</v>
      </c>
      <c r="F21" s="287">
        <v>3</v>
      </c>
      <c r="G21" s="286">
        <v>71</v>
      </c>
      <c r="H21" s="288">
        <v>347</v>
      </c>
      <c r="I21" s="289">
        <v>0</v>
      </c>
      <c r="J21" s="286">
        <f t="shared" si="1"/>
        <v>1025</v>
      </c>
      <c r="K21"/>
      <c r="M21" s="195"/>
      <c r="N21" s="196"/>
      <c r="P21" s="196"/>
    </row>
    <row r="22" spans="1:18" ht="15.75" thickBot="1">
      <c r="A22" s="58">
        <f t="shared" si="0"/>
        <v>15</v>
      </c>
      <c r="B22" s="290" t="s">
        <v>128</v>
      </c>
      <c r="C22" s="291"/>
      <c r="D22" s="292">
        <v>326</v>
      </c>
      <c r="E22" s="292">
        <v>351</v>
      </c>
      <c r="F22" s="293">
        <v>3</v>
      </c>
      <c r="G22" s="292">
        <v>75</v>
      </c>
      <c r="H22" s="292">
        <v>347</v>
      </c>
      <c r="I22" s="294">
        <v>0</v>
      </c>
      <c r="J22" s="292">
        <f t="shared" si="1"/>
        <v>1102</v>
      </c>
      <c r="K22"/>
      <c r="M22" s="195"/>
      <c r="N22" s="196"/>
      <c r="P22" s="196"/>
    </row>
    <row r="23" spans="1:18" ht="15.75" thickBot="1">
      <c r="A23" s="58">
        <f t="shared" si="0"/>
        <v>16</v>
      </c>
      <c r="B23" s="35"/>
      <c r="D23" s="48"/>
      <c r="E23" s="48"/>
      <c r="F23" s="48"/>
      <c r="G23" s="46"/>
      <c r="H23" s="32"/>
      <c r="I23" s="47"/>
      <c r="J23" s="48"/>
      <c r="K23"/>
      <c r="N23" s="196"/>
      <c r="P23" s="196"/>
    </row>
    <row r="24" spans="1:18" ht="15.75" thickBot="1">
      <c r="A24" s="58">
        <f t="shared" si="0"/>
        <v>17</v>
      </c>
      <c r="B24" s="39" t="s">
        <v>82</v>
      </c>
      <c r="C24" s="36"/>
      <c r="D24" s="86">
        <f t="shared" ref="D24:J24" si="2">SUM(D11:D22)/12</f>
        <v>298.91666666666669</v>
      </c>
      <c r="E24" s="86">
        <f>SUM(E11:E22)/12</f>
        <v>272</v>
      </c>
      <c r="F24" s="86">
        <f t="shared" si="2"/>
        <v>2.4166666666666665</v>
      </c>
      <c r="G24" s="86">
        <f t="shared" si="2"/>
        <v>59.5</v>
      </c>
      <c r="H24" s="86">
        <f>SUM(H11:H22)/12</f>
        <v>347</v>
      </c>
      <c r="I24" s="49">
        <f t="shared" si="2"/>
        <v>0</v>
      </c>
      <c r="J24" s="49">
        <f t="shared" si="2"/>
        <v>979.83333333333337</v>
      </c>
      <c r="K24"/>
      <c r="M24" s="195"/>
      <c r="N24" s="196"/>
      <c r="P24" s="196"/>
    </row>
    <row r="25" spans="1:18">
      <c r="A25" s="58">
        <f t="shared" si="0"/>
        <v>18</v>
      </c>
      <c r="D25" s="87"/>
      <c r="E25" s="87"/>
      <c r="F25" s="87"/>
      <c r="G25" s="87"/>
      <c r="H25" s="87"/>
      <c r="L25" s="196"/>
      <c r="M25" s="196"/>
      <c r="N25" s="196"/>
      <c r="O25" s="196"/>
      <c r="P25" s="196"/>
      <c r="Q25" s="196"/>
      <c r="R25" s="196"/>
    </row>
    <row r="26" spans="1:18" ht="18.75">
      <c r="A26" s="58">
        <f t="shared" si="0"/>
        <v>19</v>
      </c>
      <c r="B26" s="5"/>
      <c r="C26" s="6"/>
      <c r="D26" s="260" t="s">
        <v>399</v>
      </c>
      <c r="E26" s="261"/>
      <c r="F26" s="261"/>
      <c r="G26" s="261"/>
      <c r="H26" s="262"/>
      <c r="I26" s="6"/>
      <c r="M26" s="195"/>
    </row>
    <row r="27" spans="1:18" ht="13.5" thickBot="1">
      <c r="A27" s="58">
        <f t="shared" si="0"/>
        <v>20</v>
      </c>
      <c r="D27" s="87"/>
      <c r="E27" s="87"/>
      <c r="F27" s="87"/>
      <c r="G27" s="87"/>
      <c r="H27" s="87"/>
    </row>
    <row r="28" spans="1:18">
      <c r="A28" s="58">
        <f t="shared" si="0"/>
        <v>21</v>
      </c>
      <c r="B28" s="28"/>
      <c r="C28" s="29"/>
      <c r="D28" s="69" t="s">
        <v>37</v>
      </c>
      <c r="E28" s="69" t="s">
        <v>60</v>
      </c>
      <c r="F28" s="69" t="s">
        <v>61</v>
      </c>
      <c r="G28" s="84" t="s">
        <v>62</v>
      </c>
      <c r="H28" s="69" t="s">
        <v>103</v>
      </c>
      <c r="I28" s="45" t="s">
        <v>1</v>
      </c>
      <c r="J28" s="45" t="s">
        <v>239</v>
      </c>
    </row>
    <row r="29" spans="1:18">
      <c r="A29" s="58">
        <f t="shared" si="0"/>
        <v>22</v>
      </c>
      <c r="B29" s="31"/>
      <c r="C29" s="32"/>
      <c r="D29" s="70" t="s">
        <v>239</v>
      </c>
      <c r="E29" s="70" t="s">
        <v>239</v>
      </c>
      <c r="F29" s="70" t="s">
        <v>63</v>
      </c>
      <c r="G29" s="85" t="s">
        <v>64</v>
      </c>
      <c r="H29" s="70" t="s">
        <v>104</v>
      </c>
      <c r="I29" s="46" t="s">
        <v>2</v>
      </c>
      <c r="J29" s="46" t="s">
        <v>75</v>
      </c>
    </row>
    <row r="30" spans="1:18" ht="13.5" thickBot="1">
      <c r="A30" s="58">
        <f t="shared" si="0"/>
        <v>23</v>
      </c>
      <c r="B30" s="33"/>
      <c r="C30" s="34"/>
      <c r="D30" s="71" t="s">
        <v>65</v>
      </c>
      <c r="E30" s="70" t="s">
        <v>65</v>
      </c>
      <c r="F30" s="71" t="s">
        <v>65</v>
      </c>
      <c r="G30" s="88" t="s">
        <v>65</v>
      </c>
      <c r="H30" s="71" t="s">
        <v>65</v>
      </c>
      <c r="I30" s="47" t="s">
        <v>65</v>
      </c>
      <c r="J30" s="47" t="s">
        <v>76</v>
      </c>
    </row>
    <row r="31" spans="1:18">
      <c r="A31" s="58">
        <f t="shared" si="0"/>
        <v>24</v>
      </c>
      <c r="B31" s="284" t="s">
        <v>113</v>
      </c>
      <c r="C31" s="295"/>
      <c r="D31" s="296">
        <v>330</v>
      </c>
      <c r="E31" s="296">
        <v>315</v>
      </c>
      <c r="F31" s="297">
        <v>3</v>
      </c>
      <c r="G31" s="296">
        <v>75</v>
      </c>
      <c r="H31" s="288">
        <v>317</v>
      </c>
      <c r="I31" s="298">
        <v>0</v>
      </c>
      <c r="J31" s="296">
        <f>SUM(D31:I31)</f>
        <v>1040</v>
      </c>
      <c r="M31" s="195"/>
      <c r="N31" s="196"/>
      <c r="O31" s="196"/>
    </row>
    <row r="32" spans="1:18">
      <c r="A32" s="58">
        <f t="shared" si="0"/>
        <v>25</v>
      </c>
      <c r="B32" s="284" t="s">
        <v>124</v>
      </c>
      <c r="C32" s="285"/>
      <c r="D32" s="286">
        <v>317</v>
      </c>
      <c r="E32" s="286">
        <v>326</v>
      </c>
      <c r="F32" s="287">
        <v>3</v>
      </c>
      <c r="G32" s="286">
        <v>72</v>
      </c>
      <c r="H32" s="288">
        <v>317</v>
      </c>
      <c r="I32" s="299">
        <v>0</v>
      </c>
      <c r="J32" s="286">
        <f t="shared" ref="J32:J41" si="3">SUM(D32:I32)</f>
        <v>1035</v>
      </c>
      <c r="M32" s="195"/>
      <c r="N32" s="196"/>
      <c r="O32" s="196"/>
    </row>
    <row r="33" spans="1:15">
      <c r="A33" s="58">
        <f t="shared" si="0"/>
        <v>26</v>
      </c>
      <c r="B33" s="284" t="s">
        <v>125</v>
      </c>
      <c r="C33" s="285"/>
      <c r="D33" s="286">
        <v>297</v>
      </c>
      <c r="E33" s="286">
        <v>298</v>
      </c>
      <c r="F33" s="287">
        <v>3</v>
      </c>
      <c r="G33" s="286">
        <v>68</v>
      </c>
      <c r="H33" s="288">
        <v>317</v>
      </c>
      <c r="I33" s="299">
        <v>0</v>
      </c>
      <c r="J33" s="286">
        <f t="shared" si="3"/>
        <v>983</v>
      </c>
      <c r="M33" s="195"/>
      <c r="N33" s="196"/>
      <c r="O33" s="196"/>
    </row>
    <row r="34" spans="1:15">
      <c r="A34" s="58">
        <f t="shared" si="0"/>
        <v>27</v>
      </c>
      <c r="B34" s="284" t="s">
        <v>129</v>
      </c>
      <c r="C34" s="285"/>
      <c r="D34" s="286">
        <v>268</v>
      </c>
      <c r="E34" s="286">
        <v>279</v>
      </c>
      <c r="F34" s="287">
        <v>3</v>
      </c>
      <c r="G34" s="286">
        <v>61</v>
      </c>
      <c r="H34" s="288">
        <v>317</v>
      </c>
      <c r="I34" s="299">
        <v>0</v>
      </c>
      <c r="J34" s="286">
        <f t="shared" si="3"/>
        <v>928</v>
      </c>
      <c r="M34" s="195"/>
      <c r="N34" s="196"/>
      <c r="O34" s="196"/>
    </row>
    <row r="35" spans="1:15">
      <c r="A35" s="58">
        <f t="shared" si="0"/>
        <v>28</v>
      </c>
      <c r="B35" s="284" t="s">
        <v>130</v>
      </c>
      <c r="C35" s="285"/>
      <c r="D35" s="286">
        <v>277</v>
      </c>
      <c r="E35" s="286">
        <v>252</v>
      </c>
      <c r="F35" s="287">
        <v>3</v>
      </c>
      <c r="G35" s="286">
        <v>65</v>
      </c>
      <c r="H35" s="288">
        <v>317</v>
      </c>
      <c r="I35" s="299">
        <v>0</v>
      </c>
      <c r="J35" s="286">
        <f t="shared" si="3"/>
        <v>914</v>
      </c>
      <c r="M35" s="195"/>
      <c r="N35" s="196"/>
      <c r="O35" s="196"/>
    </row>
    <row r="36" spans="1:15">
      <c r="A36" s="58">
        <f t="shared" si="0"/>
        <v>29</v>
      </c>
      <c r="B36" s="284" t="s">
        <v>131</v>
      </c>
      <c r="C36" s="285"/>
      <c r="D36" s="286">
        <v>342</v>
      </c>
      <c r="E36" s="286">
        <v>249</v>
      </c>
      <c r="F36" s="287">
        <v>3</v>
      </c>
      <c r="G36" s="286">
        <v>79</v>
      </c>
      <c r="H36" s="288">
        <v>317</v>
      </c>
      <c r="I36" s="299">
        <v>0</v>
      </c>
      <c r="J36" s="286">
        <f t="shared" si="3"/>
        <v>990</v>
      </c>
      <c r="M36" s="195"/>
      <c r="N36" s="196"/>
      <c r="O36" s="196"/>
    </row>
    <row r="37" spans="1:15">
      <c r="A37" s="58">
        <f t="shared" si="0"/>
        <v>30</v>
      </c>
      <c r="B37" s="284" t="s">
        <v>126</v>
      </c>
      <c r="C37" s="285"/>
      <c r="D37" s="286">
        <v>377</v>
      </c>
      <c r="E37" s="286">
        <v>256</v>
      </c>
      <c r="F37" s="287">
        <v>3</v>
      </c>
      <c r="G37" s="286">
        <v>88</v>
      </c>
      <c r="H37" s="288">
        <v>317</v>
      </c>
      <c r="I37" s="299">
        <v>0</v>
      </c>
      <c r="J37" s="286">
        <f t="shared" si="3"/>
        <v>1041</v>
      </c>
      <c r="M37" s="195"/>
      <c r="N37" s="196"/>
      <c r="O37" s="196"/>
    </row>
    <row r="38" spans="1:15">
      <c r="A38" s="58">
        <f t="shared" si="0"/>
        <v>31</v>
      </c>
      <c r="B38" s="284" t="s">
        <v>110</v>
      </c>
      <c r="C38" s="285"/>
      <c r="D38" s="286">
        <v>362</v>
      </c>
      <c r="E38" s="286">
        <v>266</v>
      </c>
      <c r="F38" s="287">
        <v>3</v>
      </c>
      <c r="G38" s="286">
        <v>84</v>
      </c>
      <c r="H38" s="288">
        <v>317</v>
      </c>
      <c r="I38" s="299">
        <v>0</v>
      </c>
      <c r="J38" s="286">
        <f t="shared" si="3"/>
        <v>1032</v>
      </c>
      <c r="M38" s="195"/>
      <c r="N38" s="196"/>
      <c r="O38" s="196"/>
    </row>
    <row r="39" spans="1:15">
      <c r="A39" s="58">
        <f t="shared" si="0"/>
        <v>32</v>
      </c>
      <c r="B39" s="284" t="s">
        <v>127</v>
      </c>
      <c r="C39" s="285"/>
      <c r="D39" s="286">
        <v>323</v>
      </c>
      <c r="E39" s="286">
        <v>254</v>
      </c>
      <c r="F39" s="287">
        <v>3</v>
      </c>
      <c r="G39" s="286">
        <v>77</v>
      </c>
      <c r="H39" s="288">
        <v>317</v>
      </c>
      <c r="I39" s="299">
        <v>0</v>
      </c>
      <c r="J39" s="286">
        <f t="shared" si="3"/>
        <v>974</v>
      </c>
      <c r="M39" s="195"/>
      <c r="N39" s="196"/>
      <c r="O39" s="196"/>
    </row>
    <row r="40" spans="1:15">
      <c r="A40" s="58">
        <f t="shared" si="0"/>
        <v>33</v>
      </c>
      <c r="B40" s="284" t="s">
        <v>111</v>
      </c>
      <c r="C40" s="285"/>
      <c r="D40" s="286">
        <v>275</v>
      </c>
      <c r="E40" s="286">
        <v>273</v>
      </c>
      <c r="F40" s="287">
        <v>3</v>
      </c>
      <c r="G40" s="286">
        <v>62</v>
      </c>
      <c r="H40" s="288">
        <v>317</v>
      </c>
      <c r="I40" s="299">
        <v>0</v>
      </c>
      <c r="J40" s="286">
        <f t="shared" si="3"/>
        <v>930</v>
      </c>
      <c r="M40" s="195"/>
      <c r="N40" s="196"/>
      <c r="O40" s="196"/>
    </row>
    <row r="41" spans="1:15">
      <c r="A41" s="58">
        <f t="shared" si="0"/>
        <v>34</v>
      </c>
      <c r="B41" s="284" t="s">
        <v>112</v>
      </c>
      <c r="C41" s="285"/>
      <c r="D41" s="286">
        <v>301</v>
      </c>
      <c r="E41" s="286">
        <v>304</v>
      </c>
      <c r="F41" s="287">
        <v>3</v>
      </c>
      <c r="G41" s="286">
        <v>71</v>
      </c>
      <c r="H41" s="288">
        <v>317</v>
      </c>
      <c r="I41" s="299">
        <v>0</v>
      </c>
      <c r="J41" s="286">
        <f t="shared" si="3"/>
        <v>996</v>
      </c>
      <c r="M41" s="195"/>
      <c r="N41" s="196"/>
      <c r="O41" s="196"/>
    </row>
    <row r="42" spans="1:15" ht="13.5" thickBot="1">
      <c r="A42" s="58">
        <f t="shared" si="0"/>
        <v>35</v>
      </c>
      <c r="B42" s="290" t="s">
        <v>128</v>
      </c>
      <c r="C42" s="291"/>
      <c r="D42" s="292">
        <v>323</v>
      </c>
      <c r="E42" s="292">
        <v>340</v>
      </c>
      <c r="F42" s="293">
        <v>3</v>
      </c>
      <c r="G42" s="292">
        <v>76</v>
      </c>
      <c r="H42" s="292">
        <v>317</v>
      </c>
      <c r="I42" s="300">
        <v>0</v>
      </c>
      <c r="J42" s="292">
        <f>SUM(D42:I42)</f>
        <v>1059</v>
      </c>
      <c r="M42" s="195"/>
      <c r="N42" s="196"/>
      <c r="O42" s="196"/>
    </row>
    <row r="43" spans="1:15" ht="13.5" thickBot="1">
      <c r="A43" s="58">
        <f t="shared" si="0"/>
        <v>36</v>
      </c>
      <c r="B43" s="35"/>
      <c r="D43" s="100"/>
      <c r="E43" s="100"/>
      <c r="F43" s="100"/>
      <c r="G43" s="100"/>
      <c r="H43" s="100"/>
      <c r="I43" s="100"/>
      <c r="J43" s="100"/>
      <c r="N43" s="196"/>
      <c r="O43" s="196"/>
    </row>
    <row r="44" spans="1:15" ht="13.5" thickBot="1">
      <c r="A44" s="58">
        <f t="shared" si="0"/>
        <v>37</v>
      </c>
      <c r="B44" s="39" t="s">
        <v>82</v>
      </c>
      <c r="C44" s="36"/>
      <c r="D44" s="101">
        <f t="shared" ref="D44:J44" si="4">SUM(D31:D42)/12</f>
        <v>316</v>
      </c>
      <c r="E44" s="86">
        <f t="shared" si="4"/>
        <v>284.33333333333331</v>
      </c>
      <c r="F44" s="102">
        <f t="shared" si="4"/>
        <v>3</v>
      </c>
      <c r="G44" s="86">
        <f t="shared" si="4"/>
        <v>73.166666666666671</v>
      </c>
      <c r="H44" s="103">
        <f t="shared" si="4"/>
        <v>317</v>
      </c>
      <c r="I44" s="104">
        <f t="shared" si="4"/>
        <v>0</v>
      </c>
      <c r="J44" s="49">
        <f t="shared" si="4"/>
        <v>993.5</v>
      </c>
      <c r="K44" s="90"/>
      <c r="M44" s="195"/>
      <c r="N44" s="196"/>
      <c r="O44" s="196"/>
    </row>
    <row r="45" spans="1:15">
      <c r="A45" s="58">
        <f t="shared" si="0"/>
        <v>38</v>
      </c>
      <c r="N45" s="196"/>
    </row>
    <row r="46" spans="1:15">
      <c r="A46" s="58">
        <f t="shared" si="0"/>
        <v>39</v>
      </c>
      <c r="B46" s="40" t="s">
        <v>402</v>
      </c>
      <c r="D46" s="37"/>
      <c r="E46" s="37"/>
      <c r="F46" s="37"/>
      <c r="G46" s="68"/>
      <c r="H46" s="68"/>
      <c r="I46" s="38"/>
    </row>
    <row r="47" spans="1:15">
      <c r="A47" s="58">
        <f t="shared" si="0"/>
        <v>40</v>
      </c>
      <c r="B47" s="40" t="s">
        <v>315</v>
      </c>
      <c r="G47" s="68"/>
    </row>
    <row r="48" spans="1:15">
      <c r="A48" s="58"/>
      <c r="B48" s="40"/>
      <c r="D48" s="40"/>
      <c r="E48" s="40"/>
    </row>
    <row r="49" spans="1:10">
      <c r="A49" s="58"/>
      <c r="B49" s="40"/>
      <c r="D49" s="40"/>
      <c r="E49" s="40"/>
    </row>
    <row r="50" spans="1:10">
      <c r="A50" s="58"/>
      <c r="B50" s="40"/>
      <c r="C50" s="40"/>
      <c r="D50" s="40"/>
      <c r="E50" s="40"/>
    </row>
    <row r="51" spans="1:10">
      <c r="A51" s="58"/>
      <c r="B51" s="40"/>
      <c r="C51" s="40"/>
      <c r="D51" s="197"/>
      <c r="E51" s="197"/>
      <c r="F51" s="197"/>
      <c r="G51" s="197"/>
      <c r="H51" s="197"/>
      <c r="I51" s="197"/>
      <c r="J51" s="197"/>
    </row>
    <row r="52" spans="1:10">
      <c r="B52" s="40"/>
      <c r="C52" s="40"/>
      <c r="D52" s="197"/>
      <c r="E52" s="197"/>
      <c r="F52" s="197"/>
      <c r="G52" s="197"/>
      <c r="H52" s="197"/>
      <c r="I52" s="197"/>
      <c r="J52" s="197"/>
    </row>
    <row r="53" spans="1:10">
      <c r="B53" s="40"/>
      <c r="C53" s="40"/>
      <c r="D53" s="40"/>
      <c r="E53" s="40"/>
    </row>
    <row r="54" spans="1:10">
      <c r="B54" s="40"/>
      <c r="C54" s="40"/>
      <c r="D54" s="40"/>
      <c r="E54" s="40"/>
    </row>
    <row r="55" spans="1:10">
      <c r="B55" s="40"/>
      <c r="C55" s="40"/>
      <c r="D55" s="40"/>
      <c r="E55" s="40"/>
    </row>
    <row r="56" spans="1:10">
      <c r="B56" s="40"/>
      <c r="C56" s="40"/>
      <c r="D56" s="40"/>
      <c r="E56" s="40"/>
    </row>
    <row r="57" spans="1:10">
      <c r="B57" s="40"/>
      <c r="C57" s="40"/>
      <c r="D57" s="40"/>
      <c r="E57" s="40"/>
    </row>
    <row r="58" spans="1:10">
      <c r="B58" s="40"/>
      <c r="C58" s="40"/>
      <c r="D58" s="40"/>
      <c r="E58" s="40"/>
    </row>
  </sheetData>
  <mergeCells count="4">
    <mergeCell ref="D6:H6"/>
    <mergeCell ref="D26:H26"/>
    <mergeCell ref="A3:J3"/>
    <mergeCell ref="A4:J4"/>
  </mergeCells>
  <phoneticPr fontId="14" type="noConversion"/>
  <printOptions horizontalCentered="1"/>
  <pageMargins left="0.5" right="0.5" top="1" bottom="1" header="0.5" footer="0.5"/>
  <pageSetup scale="81" orientation="portrait" cellComments="asDisplayed" r:id="rId1"/>
  <headerFooter alignWithMargins="0">
    <oddHeader>&amp;L &amp;10 2016 BHP-Workpaper 7 Transmission Rate True-Up&amp;C&amp;"Arial MT,Bold"
WORKPAPER 6
CUS LOADS
BLACK HILLS POWER, INC.&amp;R&amp;10Page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72A3F387F1D4489CC3B48DDD380444" ma:contentTypeVersion="4" ma:contentTypeDescription="Create a new document." ma:contentTypeScope="" ma:versionID="50014243d24a3309ec5105521c6e6449">
  <xsd:schema xmlns:xsd="http://www.w3.org/2001/XMLSchema" xmlns:xs="http://www.w3.org/2001/XMLSchema" xmlns:p="http://schemas.microsoft.com/office/2006/metadata/properties" xmlns:ns2="9910b46c-2265-4d18-93ba-dc7c02e26217" targetNamespace="http://schemas.microsoft.com/office/2006/metadata/properties" ma:root="true" ma:fieldsID="ea522127f1ffcb388b5e029b5caa9743" ns2:_="">
    <xsd:import namespace="9910b46c-2265-4d18-93ba-dc7c02e262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0b46c-2265-4d18-93ba-dc7c02e26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D8766F-4ADD-4BE5-8353-9ACDFAB2478D}"/>
</file>

<file path=customXml/itemProps2.xml><?xml version="1.0" encoding="utf-8"?>
<ds:datastoreItem xmlns:ds="http://schemas.openxmlformats.org/officeDocument/2006/customXml" ds:itemID="{D9D0F9F2-8B30-4856-BC49-321CC3A97063}"/>
</file>

<file path=customXml/itemProps3.xml><?xml version="1.0" encoding="utf-8"?>
<ds:datastoreItem xmlns:ds="http://schemas.openxmlformats.org/officeDocument/2006/customXml" ds:itemID="{E183EF73-D5D2-4B5B-85B9-B1FCBB473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CU AC Rate Design</vt:lpstr>
      <vt:lpstr>Estimate</vt:lpstr>
      <vt:lpstr>BHP WP2 Capital Additions</vt:lpstr>
      <vt:lpstr>BHP WP3 Capital Additions</vt:lpstr>
      <vt:lpstr>BHP WP5 Depreciation Rates</vt:lpstr>
      <vt:lpstr>WP6 Rate Base</vt:lpstr>
      <vt:lpstr>WP7 CU AC LOADS</vt:lpstr>
      <vt:lpstr>'BHP WP2 Capital Additions'!Print_Area</vt:lpstr>
      <vt:lpstr>'BHP WP3 Capital Additions'!Print_Area</vt:lpstr>
      <vt:lpstr>'CU AC Rate Design'!Print_Area</vt:lpstr>
      <vt:lpstr>Estimate!Print_Area</vt:lpstr>
      <vt:lpstr>'WP6 Rate Base'!Print_Area</vt:lpstr>
      <vt:lpstr>'WP7 CU AC LOADS'!Print_Area</vt:lpstr>
      <vt:lpstr>'WP6 Rate Base'!Print_Titles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Mack, Lori</cp:lastModifiedBy>
  <cp:lastPrinted>2021-09-02T22:21:59Z</cp:lastPrinted>
  <dcterms:created xsi:type="dcterms:W3CDTF">1997-04-03T19:40:56Z</dcterms:created>
  <dcterms:modified xsi:type="dcterms:W3CDTF">2024-09-30T19:10:17Z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0x0101005772A3F387F1D4489CC3B48DDD380444</vt:lpwstr>
  </property>
</Properties>
</file>